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OneDrive\Робочий стіл\Диск_Д\"/>
    </mc:Choice>
  </mc:AlternateContent>
  <bookViews>
    <workbookView xWindow="0" yWindow="0" windowWidth="28800" windowHeight="12435"/>
  </bookViews>
  <sheets>
    <sheet name="Звіт" sheetId="1" r:id="rId1"/>
  </sheets>
  <definedNames>
    <definedName name="_xlnm._FilterDatabase" localSheetId="0" hidden="1">Звіт!$A$2:$L$2</definedName>
  </definedNames>
  <calcPr calcId="152511"/>
</workbook>
</file>

<file path=xl/calcChain.xml><?xml version="1.0" encoding="utf-8"?>
<calcChain xmlns="http://schemas.openxmlformats.org/spreadsheetml/2006/main">
  <c r="A244" i="1" l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<sst xmlns="http://schemas.openxmlformats.org/spreadsheetml/2006/main" count="1707" uniqueCount="319">
  <si>
    <t>Номер закупівлі ProZorro</t>
  </si>
  <si>
    <t>Номер договору</t>
  </si>
  <si>
    <t>Дата дії договору з</t>
  </si>
  <si>
    <t>Дата дії договору до</t>
  </si>
  <si>
    <t>Організатор</t>
  </si>
  <si>
    <t>Код ЄДРПОУ організатора</t>
  </si>
  <si>
    <t>Адреса організатора (юридична)</t>
  </si>
  <si>
    <t>Учасник</t>
  </si>
  <si>
    <t>Код ЄДРПОУ учасника</t>
  </si>
  <si>
    <t>Початкова сума (грн.)</t>
  </si>
  <si>
    <t>Сума (грн.)</t>
  </si>
  <si>
    <t>1-2022</t>
  </si>
  <si>
    <t>КОМУНАЛЬНЕ НЕКОМЕРЦІЙНЕ ПІДПРИЄМСТВО "ЖМЕРИНСЬКА ЛІКАРНЯ ВІДНОВНОГО ЛІКУВАННЯ ВІННИЦЬКОЇ ОБЛАСНОЇ РАДИ"</t>
  </si>
  <si>
    <t>39875078</t>
  </si>
  <si>
    <t>23100, Вінницька обл., місто Жмеринка, ВУЛИЦЯ ДОБРОЛЮБОВА, будинок 2</t>
  </si>
  <si>
    <t>ТОВАРИСТВО З ОБМЕЖЕНОЮ ВІДПОВІДАЛЬНІСТЮ "ЛІВАЙН ТОРГ"</t>
  </si>
  <si>
    <t>41449359</t>
  </si>
  <si>
    <t>82-22/2-2022</t>
  </si>
  <si>
    <t>Виконано</t>
  </si>
  <si>
    <t>ТОВАРИСТВО З ОБМЕЖЕНОЮ ВІДПОВІДАЛЬНІСТЮ  "ПРОФІЛАКТИКА"</t>
  </si>
  <si>
    <t>13302197</t>
  </si>
  <si>
    <t>Т-107/3-2022</t>
  </si>
  <si>
    <t>КОМУНАЛЬНЕ ПІДПРИЄМСТВО "ВІННИЦЯОБЛТЕПЛОЕНЕРГО"</t>
  </si>
  <si>
    <t>33649363</t>
  </si>
  <si>
    <t>10/4-2022</t>
  </si>
  <si>
    <t>ФОП Моторний Сергій Петрович</t>
  </si>
  <si>
    <t>2395616090</t>
  </si>
  <si>
    <t>3/5-2022</t>
  </si>
  <si>
    <t>ТОВАРИСТВО З ОБМЕЖЕНОЮ ВІДПОВІДАЛЬНІСТЮ "ЕЛЬ ДОРАДО"</t>
  </si>
  <si>
    <t>35097507</t>
  </si>
  <si>
    <t>6-2022</t>
  </si>
  <si>
    <t>ФОП Столярчук Оксана Миколаївна</t>
  </si>
  <si>
    <t>2328105303</t>
  </si>
  <si>
    <t>4/22А/7-2022</t>
  </si>
  <si>
    <t>ТОВАРИСТВО З ОБМЕЖЕНОЮ ВІДПОВІДАЛЬНІСТЮ - НАУКОВО - ВИРОБНИЧЕ ПІДПРИЄМСТВО"АКВА"</t>
  </si>
  <si>
    <t>23101703</t>
  </si>
  <si>
    <t>1821/8-2022</t>
  </si>
  <si>
    <t>ТОВ Видавнича група "АС"</t>
  </si>
  <si>
    <t>38747378</t>
  </si>
  <si>
    <t>12/9-2022</t>
  </si>
  <si>
    <t>ПП " БРАВІС "</t>
  </si>
  <si>
    <t>32831275</t>
  </si>
  <si>
    <t>62359/10-2022</t>
  </si>
  <si>
    <t>ТОВАРИСТВО З ОБМЕЖЕНОЮ ВІДПОВІДАЛЬНІСТЮ "НАУКОВО-ПРОМИСЛОВА КОМПАНІЯ "ХОУМ-НЕТ"</t>
  </si>
  <si>
    <t>36410686</t>
  </si>
  <si>
    <t>62360/11-2022</t>
  </si>
  <si>
    <t>001/000/220001/12-2022</t>
  </si>
  <si>
    <t xml:space="preserve">ВІННИЦЬКА ДИРЕКЦІЯ ПРИВАТНОГО АКЦІОНЕРНОГО ТОВАРИСТВА "УКРАЇНСЬКА ПОЖЕЖНО-СТРАХОВА КОМПАНІЯ"        </t>
  </si>
  <si>
    <t>26339492</t>
  </si>
  <si>
    <t>13-2022</t>
  </si>
  <si>
    <t>Товариство з обмеженою відповідальністю «Деражнянський молочний завод»</t>
  </si>
  <si>
    <t>14146210</t>
  </si>
  <si>
    <t>14-2022</t>
  </si>
  <si>
    <t>Приватне підприємство ""Медінфосервіс"</t>
  </si>
  <si>
    <t>33006821</t>
  </si>
  <si>
    <t>15-2022</t>
  </si>
  <si>
    <t>Приватне підприємство "Техноінфомед-2"</t>
  </si>
  <si>
    <t>36157713</t>
  </si>
  <si>
    <t>16-2022</t>
  </si>
  <si>
    <t>ФОП "БІЛАН АНТОН БОРИСОВИЧ "</t>
  </si>
  <si>
    <t>3175309695</t>
  </si>
  <si>
    <t>1819/17-2022</t>
  </si>
  <si>
    <t>18-2022</t>
  </si>
  <si>
    <t>ФОП Грабо Людмила Григорівна</t>
  </si>
  <si>
    <t>2117418747</t>
  </si>
  <si>
    <t>439869735</t>
  </si>
  <si>
    <t>ТОВ "МЦФЕР - Україна"</t>
  </si>
  <si>
    <t>33542497</t>
  </si>
  <si>
    <t>229/20-2022</t>
  </si>
  <si>
    <t>ДЕРЖАВНА УСТАНОВА "ВІННИЦЬКИЙ ОБЛАСНИЙ ЦЕНТР КОНТРОЛЮ ТА ПРОФІЛАКТИКИ ХВОРОБ МІНІСТЕРСТВА ОХОРОНИ ЗДОРОВ'Я УКРАЇНИ"</t>
  </si>
  <si>
    <t>38512294</t>
  </si>
  <si>
    <t>21-2022</t>
  </si>
  <si>
    <t>440253927/23-2022</t>
  </si>
  <si>
    <t>25-2022</t>
  </si>
  <si>
    <t>ФІЗИЧНА ОСОБА-ПІДПРИЄМЕЦЬ КРИВОШЕЯ ВАДИМ МИХАЙЛОВИЧ</t>
  </si>
  <si>
    <t>2857706056</t>
  </si>
  <si>
    <t>19/01-2022/26-2022</t>
  </si>
  <si>
    <t>11/27-2022</t>
  </si>
  <si>
    <t>ФЛП "Маркушевський Сергій Володимирович"</t>
  </si>
  <si>
    <t>3307207495</t>
  </si>
  <si>
    <t>122177/28-2022</t>
  </si>
  <si>
    <t>ТОВАРИСТВО З ОБМЕЖЕНОЮ ВІДПОВІДАЛЬНІСТЮ "ЖМЕРИНСЬКИЙ ЛІКУВАЛЬНО-ДІАГНОСТИЧНИЙ ЦЕНТР"</t>
  </si>
  <si>
    <t>43278880</t>
  </si>
  <si>
    <t>29-2022</t>
  </si>
  <si>
    <t>ФОП Навроцька Тетяна Вікторівна</t>
  </si>
  <si>
    <t>2230307246</t>
  </si>
  <si>
    <t>ЕЕц22010103389665/31-2022</t>
  </si>
  <si>
    <t>АКЦІОНЕРНЕ ТОВАРИСТВО "УКРАЇНСЬКА ЗАЛІЗНИЦЯ"</t>
  </si>
  <si>
    <t>40075815</t>
  </si>
  <si>
    <t>32-2022</t>
  </si>
  <si>
    <t>ФОП Кацал Євгенія Петрівна</t>
  </si>
  <si>
    <t>2789809064</t>
  </si>
  <si>
    <t>33-2022</t>
  </si>
  <si>
    <t>Бондаренко Максим Миколайович</t>
  </si>
  <si>
    <t>2882306412</t>
  </si>
  <si>
    <t>34-2022</t>
  </si>
  <si>
    <t>ФОП Кедь Лідія Олександрівна</t>
  </si>
  <si>
    <t>2368604004</t>
  </si>
  <si>
    <t>36-2022</t>
  </si>
  <si>
    <t>37-2022</t>
  </si>
  <si>
    <t>КП Жмеринкаводоканал</t>
  </si>
  <si>
    <t>41095649</t>
  </si>
  <si>
    <t>38-2022</t>
  </si>
  <si>
    <t>39-2022</t>
  </si>
  <si>
    <t>ФОП ШИНДЕР МАРІЯ СЕРГІЇВНА</t>
  </si>
  <si>
    <t>2713215864</t>
  </si>
  <si>
    <t>40-2022</t>
  </si>
  <si>
    <t>41-2022</t>
  </si>
  <si>
    <t>42-2022</t>
  </si>
  <si>
    <t>069-22/43-2022</t>
  </si>
  <si>
    <t>ФІЛІЯ "ЦЕНТР БУДІВЕЛЬНО-МОНТАЖНИХ РОБІТ ТА ЕКСПЛУАТАЦІЇ БУДІВЕЛЬ І СПОРУД"  АКЦІОНЕРНОГО ТОВАРИСТВА "УКРАЇНСЬКА ЗАЛІЗНИЦЯ"</t>
  </si>
  <si>
    <t>41149437</t>
  </si>
  <si>
    <t>44-2022</t>
  </si>
  <si>
    <t>23-06-83-134/45-2022</t>
  </si>
  <si>
    <t>ВІННИЦЬКА ДИРЕКЦІЯ АКЦІОНЕРНОГО ТОВАРИСТВА "УКРПОШТА"</t>
  </si>
  <si>
    <t>20116650</t>
  </si>
  <si>
    <t>20/46-2022</t>
  </si>
  <si>
    <t>19/47-2022</t>
  </si>
  <si>
    <t>48-2022</t>
  </si>
  <si>
    <t>49-2022</t>
  </si>
  <si>
    <t>18/50-2022</t>
  </si>
  <si>
    <t>17/51-2022</t>
  </si>
  <si>
    <t>538/51-2022</t>
  </si>
  <si>
    <t>Фізична особа підприємець Жураковська Наталя Олександрівна</t>
  </si>
  <si>
    <t>3077520641</t>
  </si>
  <si>
    <t>52-2022</t>
  </si>
  <si>
    <t>НМЦ ЦЗ та БЖД Вінницької області</t>
  </si>
  <si>
    <t>26176050</t>
  </si>
  <si>
    <t>53-2022</t>
  </si>
  <si>
    <t>МАЛЕ ПРИВАТНЕ ПІДПРИЄМСТВО "ТЕХМАШБУД"</t>
  </si>
  <si>
    <t>25495511</t>
  </si>
  <si>
    <t>04/03-2022/54-2022</t>
  </si>
  <si>
    <t>55-2022</t>
  </si>
  <si>
    <t>56-2022</t>
  </si>
  <si>
    <t>301/57-2022</t>
  </si>
  <si>
    <t>ТОВ "РАДНИК ПК"</t>
  </si>
  <si>
    <t>37716155</t>
  </si>
  <si>
    <t>58-2022</t>
  </si>
  <si>
    <t>ФОП Навроцький Михайло Миколайович</t>
  </si>
  <si>
    <t>2229214630</t>
  </si>
  <si>
    <t>59-2022</t>
  </si>
  <si>
    <t>ФОП Гаврилянчик В.Ю.</t>
  </si>
  <si>
    <t>2878804098</t>
  </si>
  <si>
    <t>34/60-2022</t>
  </si>
  <si>
    <t>33/61-2022</t>
  </si>
  <si>
    <t>35/62-2022</t>
  </si>
  <si>
    <t>158/63-2022</t>
  </si>
  <si>
    <t>64-2022</t>
  </si>
  <si>
    <t>134ф/65-2022</t>
  </si>
  <si>
    <t>МАЛЕ ПРИВАТНЕ ПІДПРИЄМСТВО ВИРОБНИЧО-КОМЕРЦІЙНА ФІРМА "АГРОСОФТ"</t>
  </si>
  <si>
    <t>20111463</t>
  </si>
  <si>
    <t>66-2022</t>
  </si>
  <si>
    <t>ФОП Калашніков Антон Юрійович</t>
  </si>
  <si>
    <t>3202200017</t>
  </si>
  <si>
    <t>1496/В-22/68-2022</t>
  </si>
  <si>
    <t>ТОВ "Товариство з обмеженою відповідальністю "Еко Захист-Україна""</t>
  </si>
  <si>
    <t>38074325</t>
  </si>
  <si>
    <t>1496/В-22/75-2022</t>
  </si>
  <si>
    <t>76-2022</t>
  </si>
  <si>
    <t>77-2022</t>
  </si>
  <si>
    <t>78-2022</t>
  </si>
  <si>
    <t>Фізична особа-підприємець Кедь Лідія Олександрівна</t>
  </si>
  <si>
    <t>23686004004</t>
  </si>
  <si>
    <t>73-2022</t>
  </si>
  <si>
    <t>79-2022</t>
  </si>
  <si>
    <t>ТОВАРИСТВО З ОБМЕЖЕНОЮ ВІДПОВІДАЛЬНІСТЮ "ЕКОТЕСТ-ЦЕНТР"</t>
  </si>
  <si>
    <t>37801182</t>
  </si>
  <si>
    <t>05/137/80-2022</t>
  </si>
  <si>
    <t>ФІЗИЧНА ОСОБА-ПІДПРИЄМЕЦЬ НАЗАРЕНКО ОЛЕКСАНДР МИКОЛАЙОВИЧ</t>
  </si>
  <si>
    <t>2589604138</t>
  </si>
  <si>
    <t>ПЗ/ШЧ-4-225241/НЮ/81-2022</t>
  </si>
  <si>
    <t>АТ "Укрзалізниця " ВП Жмеринська дистанція сигналізації та зв'язку регоінльаної філії "Південно - Західна залізниця АТ "Укрзалізниця"</t>
  </si>
  <si>
    <t>4008121</t>
  </si>
  <si>
    <t>ПЗ/ШЧ-4-225242/НЮ/82-2022</t>
  </si>
  <si>
    <t>83-2022</t>
  </si>
  <si>
    <t>07/05/84-2022</t>
  </si>
  <si>
    <t>Комунальний професійно-технічний навчальний заклад "Вінницький навчально-курсовий комбінат ЖКГ</t>
  </si>
  <si>
    <t>03363157</t>
  </si>
  <si>
    <t>85-2022</t>
  </si>
  <si>
    <t>86-2022</t>
  </si>
  <si>
    <t>ФОП Сарафенюк Олександр Дмитрович</t>
  </si>
  <si>
    <t>2505802554</t>
  </si>
  <si>
    <t>2168-61/22/87-2022</t>
  </si>
  <si>
    <t>ПРИВАТНЕ АКЦІОНЕРНЕ ТОВАРИСТВО "УКРАЇНСЬКА СТРАХОВА КОМПАНІЯ "КНЯЖА ВІЄННА ІНШУРАНС ГРУП"</t>
  </si>
  <si>
    <t>24175269</t>
  </si>
  <si>
    <t>88-2022</t>
  </si>
  <si>
    <t>89-2022</t>
  </si>
  <si>
    <t>Фізична особа підприємець Навроцький Михайло Миколайович</t>
  </si>
  <si>
    <t>2223214630</t>
  </si>
  <si>
    <t>92-2022</t>
  </si>
  <si>
    <t>93-2022</t>
  </si>
  <si>
    <t>94-2022</t>
  </si>
  <si>
    <t>95-2022</t>
  </si>
  <si>
    <t>Фізична особа підриємець Кедь Лідія Олександрівна</t>
  </si>
  <si>
    <t>2369604004</t>
  </si>
  <si>
    <t>96-2022</t>
  </si>
  <si>
    <t>6027/97-2022</t>
  </si>
  <si>
    <t>СПД Києнко-Романюк Сергій Іванович</t>
  </si>
  <si>
    <t>2176108150</t>
  </si>
  <si>
    <t>98-2022</t>
  </si>
  <si>
    <t>МС/3627/99-2022</t>
  </si>
  <si>
    <t>Малое частное торгово-промышленное предприятие "ОНИКО"</t>
  </si>
  <si>
    <t>19242964</t>
  </si>
  <si>
    <t>129/7/100-2022</t>
  </si>
  <si>
    <t>Відокремлений структурний підрозділ Жмеринський міськрайонний відділ лабораторних досліджень Державн</t>
  </si>
  <si>
    <t>38585776</t>
  </si>
  <si>
    <t>138/7/101-2022</t>
  </si>
  <si>
    <t>102-2022</t>
  </si>
  <si>
    <t>103-2022</t>
  </si>
  <si>
    <t>104-2022</t>
  </si>
  <si>
    <t>105-2022</t>
  </si>
  <si>
    <t>106-2022</t>
  </si>
  <si>
    <t>Фізична особа - підприємець Шиндер Марія Сергіївна</t>
  </si>
  <si>
    <t>23713215864</t>
  </si>
  <si>
    <t>12/107-2022</t>
  </si>
  <si>
    <t>ФОП Прус Анастасія Сергіївна</t>
  </si>
  <si>
    <t>3545602744</t>
  </si>
  <si>
    <t>115-2022</t>
  </si>
  <si>
    <t>М117-2022</t>
  </si>
  <si>
    <t>Приватне акціонерне товариство "Підприємство "Медтехніка"</t>
  </si>
  <si>
    <t>03568379</t>
  </si>
  <si>
    <t>М118-2022</t>
  </si>
  <si>
    <t>Р119-2022</t>
  </si>
  <si>
    <t>Приватне підприємство "Медтехніка"</t>
  </si>
  <si>
    <t>41479048</t>
  </si>
  <si>
    <t>81/120-2022</t>
  </si>
  <si>
    <t>1-1808/121-2022</t>
  </si>
  <si>
    <t>121-2022</t>
  </si>
  <si>
    <t>ООО "Квант-сервіс"</t>
  </si>
  <si>
    <t>31743639</t>
  </si>
  <si>
    <t>122-2022</t>
  </si>
  <si>
    <t>ФОП "ДРАПІКОВСЬКИЙ СЕРГІЙ ВІКТОРОВИЧ"</t>
  </si>
  <si>
    <t>2790814870</t>
  </si>
  <si>
    <t>123-2022</t>
  </si>
  <si>
    <t>124-2022</t>
  </si>
  <si>
    <t>125-2022</t>
  </si>
  <si>
    <t>127-2022</t>
  </si>
  <si>
    <t>Фізична особа - підприємець Кацал Євгенія Петрівна</t>
  </si>
  <si>
    <t>2789806064</t>
  </si>
  <si>
    <t>128-2022</t>
  </si>
  <si>
    <t>05/138/129-2022</t>
  </si>
  <si>
    <t>130-2022</t>
  </si>
  <si>
    <t>ФОП Шаповалов Олександр Васильович</t>
  </si>
  <si>
    <t>2285805490</t>
  </si>
  <si>
    <t>131-2022</t>
  </si>
  <si>
    <t>132-2022</t>
  </si>
  <si>
    <t>133-2022</t>
  </si>
  <si>
    <t>134-2022</t>
  </si>
  <si>
    <t>135-2022</t>
  </si>
  <si>
    <t>2/137-2022</t>
  </si>
  <si>
    <t>РЕГІОНАЛЬНА ФІЛІЯ "ПІВДЕННО-ЗАХІДНА ЗАЛІЗНИЦЯ" АКЦІОНЕРНОГО ТОВАРИСТВА "УКРАЇНСЬКА ЗАЛІЗНИЦЯ"</t>
  </si>
  <si>
    <t>40081221</t>
  </si>
  <si>
    <t>22/359/139-2022</t>
  </si>
  <si>
    <t>ФОП КРАТЮК ВАЛЕРІЙ АНАТОЛІЙОВИЧ</t>
  </si>
  <si>
    <t>2165717539</t>
  </si>
  <si>
    <t>196/139-2022</t>
  </si>
  <si>
    <t>ДП Техмедсервис+</t>
  </si>
  <si>
    <t>32407402</t>
  </si>
  <si>
    <t>140-2022</t>
  </si>
  <si>
    <t>141-2022</t>
  </si>
  <si>
    <t>142-2022</t>
  </si>
  <si>
    <t>143-2022</t>
  </si>
  <si>
    <t>ФОП Кухар Т.В.</t>
  </si>
  <si>
    <t>3001900560</t>
  </si>
  <si>
    <t>24/145-2022</t>
  </si>
  <si>
    <t>ТОВАРИСТВО З ОБМЕЖЕНОЮ ВІДПОВІДАЛЬНІСТЮ "РАДІОЛОГІЧНИЙ ЦЕНТР "СТАКС"</t>
  </si>
  <si>
    <t>13494765</t>
  </si>
  <si>
    <t>146-2022</t>
  </si>
  <si>
    <t>147-2022</t>
  </si>
  <si>
    <t>ТОВАРИСТВО З ОБМЕЖЕНОЮ ВІДПОВІДАЛЬНІСТЮ "ІНТЕКС ІНВЕСТ"</t>
  </si>
  <si>
    <t>39821153</t>
  </si>
  <si>
    <t>149-2022</t>
  </si>
  <si>
    <t>ТОВАРИСТВО З ОБМЕЖЕНОЮ ВІДПОВІДАЛЬНІСТЮ "ЕНЕРДЖІ ТРЕЙД ГРУП"</t>
  </si>
  <si>
    <t>36716332</t>
  </si>
  <si>
    <t>10/242/150-2022</t>
  </si>
  <si>
    <t>26335/151-2022</t>
  </si>
  <si>
    <t>ФОП "ОВЧАРЕНКО МАКСИМ ІВАНОВИЧ"</t>
  </si>
  <si>
    <t>2928407211</t>
  </si>
  <si>
    <t>152-2022</t>
  </si>
  <si>
    <t>82/153-2022</t>
  </si>
  <si>
    <t>158-2022</t>
  </si>
  <si>
    <t>159-2022</t>
  </si>
  <si>
    <t>160-2022</t>
  </si>
  <si>
    <t>161-2022</t>
  </si>
  <si>
    <t>162-2022</t>
  </si>
  <si>
    <t>163-2022</t>
  </si>
  <si>
    <t>164-2022</t>
  </si>
  <si>
    <t>165-2022</t>
  </si>
  <si>
    <t>166-2022</t>
  </si>
  <si>
    <t>ОЛІЙНИК ЛІЛІЯ ВІКТОРІВНА</t>
  </si>
  <si>
    <t>2273307141</t>
  </si>
  <si>
    <t>39875078/167-2023</t>
  </si>
  <si>
    <t>ПРИВАТНА ВИРОБНИЧА ФІРМА "ПРАКТИК"</t>
  </si>
  <si>
    <t>13313673</t>
  </si>
  <si>
    <t>168-2022</t>
  </si>
  <si>
    <t>170-2022</t>
  </si>
  <si>
    <t>171-2022</t>
  </si>
  <si>
    <t>МС/3700/172-2022</t>
  </si>
  <si>
    <t>173-2022</t>
  </si>
  <si>
    <t>174-2022</t>
  </si>
  <si>
    <t>175-2022</t>
  </si>
  <si>
    <t>176-2022</t>
  </si>
  <si>
    <t>178-2022</t>
  </si>
  <si>
    <t>177-2022</t>
  </si>
  <si>
    <t>179-2022</t>
  </si>
  <si>
    <t>36/180-2022</t>
  </si>
  <si>
    <t>181-2022</t>
  </si>
  <si>
    <t>П3073990</t>
  </si>
  <si>
    <t>ТОВАРИСТВО З ОБМЕЖЕНОЮ ВІДПОВІДАЛЬНІСТЮ «ЕКСПЕРТУС ТЕК»</t>
  </si>
  <si>
    <t>44725954</t>
  </si>
  <si>
    <t>183-2022</t>
  </si>
  <si>
    <t>ТОВАРИСТВО З ОБМЕЖЕНОЮ ВІДПОВІДАЛЬНІСТЮ "НАШ ХЛІБ ВІННИЦЯ"</t>
  </si>
  <si>
    <t>43594489</t>
  </si>
  <si>
    <t>60АВ200-103170-22/187-2022</t>
  </si>
  <si>
    <t>ТОВАРИСТВО З ОБМЕЖЕНОЮ ВІДПОВІДАЛЬНІСТЮ "ТВІЙ ГАЗЗБУТ"</t>
  </si>
  <si>
    <t>43965848</t>
  </si>
  <si>
    <t>185/2022</t>
  </si>
  <si>
    <t>Стан виконання</t>
  </si>
  <si>
    <t>Звіт за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</si>
</sst>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#,##0.00"/>
  </numFmts>
  <fonts count="4" x14ac:knownFonts="1">
    <font>
      <sz val="11"/>
      <name val="Calibri"/>
    </font>
    <font>
      <sz val="20"/>
      <name val="Calibri"/>
    </font>
    <font>
      <sz val="12"/>
      <name val="Calibri"/>
    </font>
    <font>
      <u/>
      <sz val="12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AEBD7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vertical="center" wrapText="1"/>
    </xf>
    <xf numFmtId="14" fontId="2" fillId="0" borderId="2" xfId="0" applyNumberFormat="1" applyFont="1" applyBorder="1" applyAlignment="1" applyProtection="1">
      <alignment vertical="center" wrapText="1"/>
    </xf>
    <xf numFmtId="164" fontId="2" fillId="0" borderId="2" xfId="0" applyNumberFormat="1" applyFont="1" applyBorder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Views>
    <sheetView tabSelected="1" workbookViewId="0">
      <selection sqref="A1:L1"/>
    </sheetView>
  </sheetViews>
  <sheetFormatPr defaultRowHeight="15" x14ac:dyDescent="0.25"/>
  <cols>
    <col min="1" max="1" width="30" customWidth="1"/>
    <col min="2" max="3" width="15" customWidth="1"/>
    <col min="4" max="4" width="14.5703125" customWidth="1"/>
    <col min="5" max="5" width="13.7109375" customWidth="1"/>
    <col min="6" max="6" width="50" customWidth="1"/>
    <col min="7" max="7" width="17" customWidth="1"/>
    <col min="8" max="8" width="47" customWidth="1"/>
    <col min="9" max="9" width="45.5703125" customWidth="1"/>
    <col min="10" max="10" width="16.42578125" customWidth="1"/>
    <col min="11" max="12" width="15" customWidth="1"/>
  </cols>
  <sheetData>
    <row r="1" spans="1:12" ht="60" customHeight="1" thickBot="1" x14ac:dyDescent="0.3">
      <c r="A1" s="6" t="s">
        <v>318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0" customHeight="1" thickBot="1" x14ac:dyDescent="0.3">
      <c r="A2" s="1" t="s">
        <v>0</v>
      </c>
      <c r="B2" s="1" t="s">
        <v>1</v>
      </c>
      <c r="C2" s="1" t="s">
        <v>317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47.25" x14ac:dyDescent="0.25">
      <c r="A3" s="2" t="str">
        <f>HYPERLINK("http://prozorro.gov.ua/tender/UA-2021-12-13-004644-a/","UA-2021-12-13-004644-a")</f>
        <v>UA-2021-12-13-004644-a</v>
      </c>
      <c r="B3" s="3" t="s">
        <v>11</v>
      </c>
      <c r="C3" s="3" t="s">
        <v>18</v>
      </c>
      <c r="D3" s="4">
        <v>44567</v>
      </c>
      <c r="E3" s="4">
        <v>44926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5">
        <v>75000</v>
      </c>
      <c r="L3" s="5">
        <v>18600</v>
      </c>
    </row>
    <row r="4" spans="1:12" ht="47.25" x14ac:dyDescent="0.25">
      <c r="A4" s="2" t="str">
        <f>HYPERLINK("http://prozorro.gov.ua/tender/UA-2021-12-13-007014-c/","UA-2021-12-13-007014-c")</f>
        <v>UA-2021-12-13-007014-c</v>
      </c>
      <c r="B4" s="3" t="s">
        <v>17</v>
      </c>
      <c r="C4" s="3" t="s">
        <v>18</v>
      </c>
      <c r="D4" s="4">
        <v>44567</v>
      </c>
      <c r="E4" s="4">
        <v>44926</v>
      </c>
      <c r="F4" s="3" t="s">
        <v>12</v>
      </c>
      <c r="G4" s="3" t="s">
        <v>13</v>
      </c>
      <c r="H4" s="3" t="s">
        <v>14</v>
      </c>
      <c r="I4" s="3" t="s">
        <v>19</v>
      </c>
      <c r="J4" s="3" t="s">
        <v>20</v>
      </c>
      <c r="K4" s="5">
        <v>198857.28</v>
      </c>
      <c r="L4" s="5">
        <v>198857.28</v>
      </c>
    </row>
    <row r="5" spans="1:12" ht="47.25" x14ac:dyDescent="0.25">
      <c r="A5" s="2" t="str">
        <f>HYPERLINK("http://prozorro.gov.ua/tender/UA-2021-12-29-008184-c/","UA-2021-12-29-008184-c")</f>
        <v>UA-2021-12-29-008184-c</v>
      </c>
      <c r="B5" s="3" t="s">
        <v>21</v>
      </c>
      <c r="C5" s="3" t="s">
        <v>18</v>
      </c>
      <c r="D5" s="4">
        <v>44562</v>
      </c>
      <c r="E5" s="4">
        <v>44926</v>
      </c>
      <c r="F5" s="3" t="s">
        <v>12</v>
      </c>
      <c r="G5" s="3" t="s">
        <v>13</v>
      </c>
      <c r="H5" s="3" t="s">
        <v>14</v>
      </c>
      <c r="I5" s="3" t="s">
        <v>22</v>
      </c>
      <c r="J5" s="3" t="s">
        <v>23</v>
      </c>
      <c r="K5" s="5">
        <v>3418452</v>
      </c>
      <c r="L5" s="5">
        <v>3418452</v>
      </c>
    </row>
    <row r="6" spans="1:12" ht="47.25" x14ac:dyDescent="0.25">
      <c r="A6" s="2" t="str">
        <f>HYPERLINK("http://prozorro.gov.ua/tender/UA-2022-01-11-002675-a/","UA-2022-01-11-002675-a")</f>
        <v>UA-2022-01-11-002675-a</v>
      </c>
      <c r="B6" s="3" t="s">
        <v>24</v>
      </c>
      <c r="C6" s="3" t="s">
        <v>18</v>
      </c>
      <c r="D6" s="4">
        <v>44572</v>
      </c>
      <c r="E6" s="4">
        <v>44926</v>
      </c>
      <c r="F6" s="3" t="s">
        <v>12</v>
      </c>
      <c r="G6" s="3" t="s">
        <v>13</v>
      </c>
      <c r="H6" s="3" t="s">
        <v>14</v>
      </c>
      <c r="I6" s="3" t="s">
        <v>25</v>
      </c>
      <c r="J6" s="3" t="s">
        <v>26</v>
      </c>
      <c r="K6" s="5">
        <v>15915.84</v>
      </c>
      <c r="L6" s="5">
        <v>15915.84</v>
      </c>
    </row>
    <row r="7" spans="1:12" ht="47.25" x14ac:dyDescent="0.25">
      <c r="A7" s="2" t="str">
        <f>HYPERLINK("http://prozorro.gov.ua/tender/UA-2022-01-11-002893-a/","UA-2022-01-11-002893-a")</f>
        <v>UA-2022-01-11-002893-a</v>
      </c>
      <c r="B7" s="3" t="s">
        <v>27</v>
      </c>
      <c r="C7" s="3" t="s">
        <v>18</v>
      </c>
      <c r="D7" s="4">
        <v>44572</v>
      </c>
      <c r="E7" s="4">
        <v>44926</v>
      </c>
      <c r="F7" s="3" t="s">
        <v>12</v>
      </c>
      <c r="G7" s="3" t="s">
        <v>13</v>
      </c>
      <c r="H7" s="3" t="s">
        <v>14</v>
      </c>
      <c r="I7" s="3" t="s">
        <v>28</v>
      </c>
      <c r="J7" s="3" t="s">
        <v>29</v>
      </c>
      <c r="K7" s="5">
        <v>33756</v>
      </c>
      <c r="L7" s="5">
        <v>33756</v>
      </c>
    </row>
    <row r="8" spans="1:12" ht="47.25" x14ac:dyDescent="0.25">
      <c r="A8" s="2" t="str">
        <f>HYPERLINK("http://prozorro.gov.ua/tender/UA-2021-12-15-012661-c/","UA-2021-12-15-012661-c")</f>
        <v>UA-2021-12-15-012661-c</v>
      </c>
      <c r="B8" s="3" t="s">
        <v>30</v>
      </c>
      <c r="C8" s="3" t="s">
        <v>18</v>
      </c>
      <c r="D8" s="4">
        <v>44572</v>
      </c>
      <c r="E8" s="4">
        <v>44926</v>
      </c>
      <c r="F8" s="3" t="s">
        <v>12</v>
      </c>
      <c r="G8" s="3" t="s">
        <v>13</v>
      </c>
      <c r="H8" s="3" t="s">
        <v>14</v>
      </c>
      <c r="I8" s="3" t="s">
        <v>31</v>
      </c>
      <c r="J8" s="3" t="s">
        <v>32</v>
      </c>
      <c r="K8" s="5">
        <v>129599.8</v>
      </c>
      <c r="L8" s="5">
        <v>129599.8</v>
      </c>
    </row>
    <row r="9" spans="1:12" ht="47.25" x14ac:dyDescent="0.25">
      <c r="A9" s="2" t="str">
        <f>HYPERLINK("http://prozorro.gov.ua/tender/UA-2022-01-13-001075-b/","UA-2022-01-13-001075-b")</f>
        <v>UA-2022-01-13-001075-b</v>
      </c>
      <c r="B9" s="3" t="s">
        <v>33</v>
      </c>
      <c r="C9" s="3" t="s">
        <v>18</v>
      </c>
      <c r="D9" s="4">
        <v>44574</v>
      </c>
      <c r="E9" s="4">
        <v>44926</v>
      </c>
      <c r="F9" s="3" t="s">
        <v>12</v>
      </c>
      <c r="G9" s="3" t="s">
        <v>13</v>
      </c>
      <c r="H9" s="3" t="s">
        <v>14</v>
      </c>
      <c r="I9" s="3" t="s">
        <v>34</v>
      </c>
      <c r="J9" s="3" t="s">
        <v>35</v>
      </c>
      <c r="K9" s="5">
        <v>11400</v>
      </c>
      <c r="L9" s="5">
        <v>11400</v>
      </c>
    </row>
    <row r="10" spans="1:12" ht="47.25" x14ac:dyDescent="0.25">
      <c r="A10" s="2" t="str">
        <f>HYPERLINK("http://prozorro.gov.ua/tender/UA-2022-01-17-000068-c/","UA-2022-01-17-000068-c")</f>
        <v>UA-2022-01-17-000068-c</v>
      </c>
      <c r="B10" s="3" t="s">
        <v>36</v>
      </c>
      <c r="C10" s="3" t="s">
        <v>18</v>
      </c>
      <c r="D10" s="4">
        <v>44578</v>
      </c>
      <c r="E10" s="4">
        <v>44926</v>
      </c>
      <c r="F10" s="3" t="s">
        <v>12</v>
      </c>
      <c r="G10" s="3" t="s">
        <v>13</v>
      </c>
      <c r="H10" s="3" t="s">
        <v>14</v>
      </c>
      <c r="I10" s="3" t="s">
        <v>37</v>
      </c>
      <c r="J10" s="3" t="s">
        <v>38</v>
      </c>
      <c r="K10" s="5">
        <v>5868</v>
      </c>
      <c r="L10" s="5">
        <v>5868</v>
      </c>
    </row>
    <row r="11" spans="1:12" ht="47.25" x14ac:dyDescent="0.25">
      <c r="A11" s="2" t="str">
        <f>HYPERLINK("http://prozorro.gov.ua/tender/UA-2022-01-17-003230-a/","UA-2022-01-17-003230-a")</f>
        <v>UA-2022-01-17-003230-a</v>
      </c>
      <c r="B11" s="3" t="s">
        <v>39</v>
      </c>
      <c r="C11" s="3" t="s">
        <v>18</v>
      </c>
      <c r="D11" s="4">
        <v>44578</v>
      </c>
      <c r="E11" s="4">
        <v>44926</v>
      </c>
      <c r="F11" s="3" t="s">
        <v>12</v>
      </c>
      <c r="G11" s="3" t="s">
        <v>13</v>
      </c>
      <c r="H11" s="3" t="s">
        <v>14</v>
      </c>
      <c r="I11" s="3" t="s">
        <v>40</v>
      </c>
      <c r="J11" s="3" t="s">
        <v>41</v>
      </c>
      <c r="K11" s="5">
        <v>7408.8</v>
      </c>
      <c r="L11" s="5">
        <v>7408.8</v>
      </c>
    </row>
    <row r="12" spans="1:12" ht="47.25" x14ac:dyDescent="0.25">
      <c r="A12" s="2" t="str">
        <f>HYPERLINK("http://prozorro.gov.ua/tender/UA-2022-01-18-003655-c/","UA-2022-01-18-003655-c")</f>
        <v>UA-2022-01-18-003655-c</v>
      </c>
      <c r="B12" s="3" t="s">
        <v>42</v>
      </c>
      <c r="C12" s="3" t="s">
        <v>18</v>
      </c>
      <c r="D12" s="4">
        <v>44579</v>
      </c>
      <c r="E12" s="4">
        <v>44926</v>
      </c>
      <c r="F12" s="3" t="s">
        <v>12</v>
      </c>
      <c r="G12" s="3" t="s">
        <v>13</v>
      </c>
      <c r="H12" s="3" t="s">
        <v>14</v>
      </c>
      <c r="I12" s="3" t="s">
        <v>43</v>
      </c>
      <c r="J12" s="3" t="s">
        <v>44</v>
      </c>
      <c r="K12" s="5">
        <v>12000</v>
      </c>
      <c r="L12" s="5">
        <v>12000</v>
      </c>
    </row>
    <row r="13" spans="1:12" ht="47.25" x14ac:dyDescent="0.25">
      <c r="A13" s="2" t="str">
        <f>HYPERLINK("http://prozorro.gov.ua/tender/UA-2022-01-21-001930-a/","UA-2022-01-21-001930-a")</f>
        <v>UA-2022-01-21-001930-a</v>
      </c>
      <c r="B13" s="3" t="s">
        <v>45</v>
      </c>
      <c r="C13" s="3" t="s">
        <v>18</v>
      </c>
      <c r="D13" s="4">
        <v>44582</v>
      </c>
      <c r="E13" s="4">
        <v>44926</v>
      </c>
      <c r="F13" s="3" t="s">
        <v>12</v>
      </c>
      <c r="G13" s="3" t="s">
        <v>13</v>
      </c>
      <c r="H13" s="3" t="s">
        <v>14</v>
      </c>
      <c r="I13" s="3" t="s">
        <v>43</v>
      </c>
      <c r="J13" s="3" t="s">
        <v>44</v>
      </c>
      <c r="K13" s="5">
        <v>12000</v>
      </c>
      <c r="L13" s="5">
        <v>12000</v>
      </c>
    </row>
    <row r="14" spans="1:12" ht="47.25" x14ac:dyDescent="0.25">
      <c r="A14" s="2" t="str">
        <f>HYPERLINK("http://prozorro.gov.ua/tender/UA-2022-01-21-002017-a/","UA-2022-01-21-002017-a")</f>
        <v>UA-2022-01-21-002017-a</v>
      </c>
      <c r="B14" s="3" t="s">
        <v>46</v>
      </c>
      <c r="C14" s="3" t="s">
        <v>18</v>
      </c>
      <c r="D14" s="4">
        <v>44582</v>
      </c>
      <c r="E14" s="4">
        <v>44946</v>
      </c>
      <c r="F14" s="3" t="s">
        <v>12</v>
      </c>
      <c r="G14" s="3" t="s">
        <v>13</v>
      </c>
      <c r="H14" s="3" t="s">
        <v>14</v>
      </c>
      <c r="I14" s="3" t="s">
        <v>47</v>
      </c>
      <c r="J14" s="3" t="s">
        <v>48</v>
      </c>
      <c r="K14" s="5">
        <v>3060</v>
      </c>
      <c r="L14" s="5">
        <v>3060</v>
      </c>
    </row>
    <row r="15" spans="1:12" ht="47.25" x14ac:dyDescent="0.25">
      <c r="A15" s="2" t="str">
        <f>HYPERLINK("http://prozorro.gov.ua/tender/UA-2021-12-29-006263-b/","UA-2021-12-29-006263-b")</f>
        <v>UA-2021-12-29-006263-b</v>
      </c>
      <c r="B15" s="3" t="s">
        <v>49</v>
      </c>
      <c r="C15" s="3" t="s">
        <v>18</v>
      </c>
      <c r="D15" s="4">
        <v>44582</v>
      </c>
      <c r="E15" s="4">
        <v>44926</v>
      </c>
      <c r="F15" s="3" t="s">
        <v>12</v>
      </c>
      <c r="G15" s="3" t="s">
        <v>13</v>
      </c>
      <c r="H15" s="3" t="s">
        <v>14</v>
      </c>
      <c r="I15" s="3" t="s">
        <v>50</v>
      </c>
      <c r="J15" s="3" t="s">
        <v>51</v>
      </c>
      <c r="K15" s="5">
        <v>43896</v>
      </c>
      <c r="L15" s="5">
        <v>43895.07</v>
      </c>
    </row>
    <row r="16" spans="1:12" ht="47.25" x14ac:dyDescent="0.25">
      <c r="A16" s="2" t="str">
        <f>HYPERLINK("http://prozorro.gov.ua/tender/UA-2022-01-21-002524-a/","UA-2022-01-21-002524-a")</f>
        <v>UA-2022-01-21-002524-a</v>
      </c>
      <c r="B16" s="3" t="s">
        <v>52</v>
      </c>
      <c r="C16" s="3" t="s">
        <v>18</v>
      </c>
      <c r="D16" s="4">
        <v>44582</v>
      </c>
      <c r="E16" s="4">
        <v>44926</v>
      </c>
      <c r="F16" s="3" t="s">
        <v>12</v>
      </c>
      <c r="G16" s="3" t="s">
        <v>13</v>
      </c>
      <c r="H16" s="3" t="s">
        <v>14</v>
      </c>
      <c r="I16" s="3" t="s">
        <v>53</v>
      </c>
      <c r="J16" s="3" t="s">
        <v>54</v>
      </c>
      <c r="K16" s="5">
        <v>1800</v>
      </c>
      <c r="L16" s="5">
        <v>1800</v>
      </c>
    </row>
    <row r="17" spans="1:12" ht="47.25" x14ac:dyDescent="0.25">
      <c r="A17" s="2" t="str">
        <f>HYPERLINK("http://prozorro.gov.ua/tender/UA-2022-01-24-001172-a/","UA-2022-01-24-001172-a")</f>
        <v>UA-2022-01-24-001172-a</v>
      </c>
      <c r="B17" s="3" t="s">
        <v>55</v>
      </c>
      <c r="C17" s="3" t="s">
        <v>18</v>
      </c>
      <c r="D17" s="4">
        <v>44585</v>
      </c>
      <c r="E17" s="4">
        <v>44926</v>
      </c>
      <c r="F17" s="3" t="s">
        <v>12</v>
      </c>
      <c r="G17" s="3" t="s">
        <v>13</v>
      </c>
      <c r="H17" s="3" t="s">
        <v>14</v>
      </c>
      <c r="I17" s="3" t="s">
        <v>56</v>
      </c>
      <c r="J17" s="3" t="s">
        <v>57</v>
      </c>
      <c r="K17" s="5">
        <v>1400</v>
      </c>
      <c r="L17" s="5">
        <v>1400</v>
      </c>
    </row>
    <row r="18" spans="1:12" ht="47.25" x14ac:dyDescent="0.25">
      <c r="A18" s="2" t="str">
        <f>HYPERLINK("http://prozorro.gov.ua/tender/UA-2021-12-15-004170-a/","UA-2021-12-15-004170-a")</f>
        <v>UA-2021-12-15-004170-a</v>
      </c>
      <c r="B18" s="3" t="s">
        <v>58</v>
      </c>
      <c r="C18" s="3" t="s">
        <v>18</v>
      </c>
      <c r="D18" s="4">
        <v>44585</v>
      </c>
      <c r="E18" s="4">
        <v>44958</v>
      </c>
      <c r="F18" s="3" t="s">
        <v>12</v>
      </c>
      <c r="G18" s="3" t="s">
        <v>13</v>
      </c>
      <c r="H18" s="3" t="s">
        <v>14</v>
      </c>
      <c r="I18" s="3" t="s">
        <v>59</v>
      </c>
      <c r="J18" s="3" t="s">
        <v>60</v>
      </c>
      <c r="K18" s="5">
        <v>285000</v>
      </c>
      <c r="L18" s="5">
        <v>284885.24</v>
      </c>
    </row>
    <row r="19" spans="1:12" ht="47.25" x14ac:dyDescent="0.25">
      <c r="A19" s="2" t="str">
        <f>HYPERLINK("http://prozorro.gov.ua/tender/UA-2022-01-24-001429-c/","UA-2022-01-24-001429-c")</f>
        <v>UA-2022-01-24-001429-c</v>
      </c>
      <c r="B19" s="3" t="s">
        <v>61</v>
      </c>
      <c r="C19" s="3" t="s">
        <v>18</v>
      </c>
      <c r="D19" s="4">
        <v>44585</v>
      </c>
      <c r="E19" s="4">
        <v>44926</v>
      </c>
      <c r="F19" s="3" t="s">
        <v>12</v>
      </c>
      <c r="G19" s="3" t="s">
        <v>13</v>
      </c>
      <c r="H19" s="3" t="s">
        <v>14</v>
      </c>
      <c r="I19" s="3" t="s">
        <v>37</v>
      </c>
      <c r="J19" s="3" t="s">
        <v>38</v>
      </c>
      <c r="K19" s="5">
        <v>3768</v>
      </c>
      <c r="L19" s="5">
        <v>3768</v>
      </c>
    </row>
    <row r="20" spans="1:12" ht="47.25" x14ac:dyDescent="0.25">
      <c r="A20" s="2" t="str">
        <f>HYPERLINK("http://prozorro.gov.ua/tender/UA-2022-01-24-001549-c/","UA-2022-01-24-001549-c")</f>
        <v>UA-2022-01-24-001549-c</v>
      </c>
      <c r="B20" s="3" t="s">
        <v>62</v>
      </c>
      <c r="C20" s="3" t="s">
        <v>18</v>
      </c>
      <c r="D20" s="4">
        <v>44585</v>
      </c>
      <c r="E20" s="4">
        <v>44926</v>
      </c>
      <c r="F20" s="3" t="s">
        <v>12</v>
      </c>
      <c r="G20" s="3" t="s">
        <v>13</v>
      </c>
      <c r="H20" s="3" t="s">
        <v>14</v>
      </c>
      <c r="I20" s="3" t="s">
        <v>63</v>
      </c>
      <c r="J20" s="3" t="s">
        <v>64</v>
      </c>
      <c r="K20" s="5">
        <v>3069</v>
      </c>
      <c r="L20" s="5">
        <v>3069</v>
      </c>
    </row>
    <row r="21" spans="1:12" ht="47.25" x14ac:dyDescent="0.25">
      <c r="A21" s="2" t="str">
        <f>HYPERLINK("http://prozorro.gov.ua/tender/UA-2022-01-24-001626-c/","UA-2022-01-24-001626-c")</f>
        <v>UA-2022-01-24-001626-c</v>
      </c>
      <c r="B21" s="3" t="s">
        <v>65</v>
      </c>
      <c r="C21" s="3" t="s">
        <v>18</v>
      </c>
      <c r="D21" s="4">
        <v>44585</v>
      </c>
      <c r="E21" s="4">
        <v>44926</v>
      </c>
      <c r="F21" s="3" t="s">
        <v>12</v>
      </c>
      <c r="G21" s="3" t="s">
        <v>13</v>
      </c>
      <c r="H21" s="3" t="s">
        <v>14</v>
      </c>
      <c r="I21" s="3" t="s">
        <v>66</v>
      </c>
      <c r="J21" s="3" t="s">
        <v>67</v>
      </c>
      <c r="K21" s="5">
        <v>2200</v>
      </c>
      <c r="L21" s="5">
        <v>2200</v>
      </c>
    </row>
    <row r="22" spans="1:12" ht="63" x14ac:dyDescent="0.25">
      <c r="A22" s="2" t="str">
        <f>HYPERLINK("http://prozorro.gov.ua/tender/UA-2022-01-24-001610-a/","UA-2022-01-24-001610-a")</f>
        <v>UA-2022-01-24-001610-a</v>
      </c>
      <c r="B22" s="3" t="s">
        <v>68</v>
      </c>
      <c r="C22" s="3" t="s">
        <v>18</v>
      </c>
      <c r="D22" s="4">
        <v>44585</v>
      </c>
      <c r="E22" s="4">
        <v>44926</v>
      </c>
      <c r="F22" s="3" t="s">
        <v>12</v>
      </c>
      <c r="G22" s="3" t="s">
        <v>13</v>
      </c>
      <c r="H22" s="3" t="s">
        <v>14</v>
      </c>
      <c r="I22" s="3" t="s">
        <v>69</v>
      </c>
      <c r="J22" s="3" t="s">
        <v>70</v>
      </c>
      <c r="K22" s="5">
        <v>1014.34</v>
      </c>
      <c r="L22" s="5">
        <v>1014.34</v>
      </c>
    </row>
    <row r="23" spans="1:12" ht="47.25" x14ac:dyDescent="0.25">
      <c r="A23" s="2" t="str">
        <f>HYPERLINK("http://prozorro.gov.ua/tender/UA-2022-01-10-000043-b/","UA-2022-01-10-000043-b")</f>
        <v>UA-2022-01-10-000043-b</v>
      </c>
      <c r="B23" s="3" t="s">
        <v>71</v>
      </c>
      <c r="C23" s="3" t="s">
        <v>18</v>
      </c>
      <c r="D23" s="4">
        <v>44586</v>
      </c>
      <c r="E23" s="4">
        <v>44926</v>
      </c>
      <c r="F23" s="3" t="s">
        <v>12</v>
      </c>
      <c r="G23" s="3" t="s">
        <v>13</v>
      </c>
      <c r="H23" s="3" t="s">
        <v>14</v>
      </c>
      <c r="I23" s="3" t="s">
        <v>50</v>
      </c>
      <c r="J23" s="3" t="s">
        <v>51</v>
      </c>
      <c r="K23" s="5">
        <v>23184</v>
      </c>
      <c r="L23" s="5">
        <v>23181.599999999999</v>
      </c>
    </row>
    <row r="24" spans="1:12" ht="47.25" x14ac:dyDescent="0.25">
      <c r="A24" s="2" t="str">
        <f>HYPERLINK("http://prozorro.gov.ua/tender/UA-2022-01-27-010182-b/","UA-2022-01-27-010182-b")</f>
        <v>UA-2022-01-27-010182-b</v>
      </c>
      <c r="B24" s="3" t="s">
        <v>72</v>
      </c>
      <c r="C24" s="3" t="s">
        <v>18</v>
      </c>
      <c r="D24" s="4">
        <v>44586</v>
      </c>
      <c r="E24" s="4">
        <v>44926</v>
      </c>
      <c r="F24" s="3" t="s">
        <v>12</v>
      </c>
      <c r="G24" s="3" t="s">
        <v>13</v>
      </c>
      <c r="H24" s="3" t="s">
        <v>14</v>
      </c>
      <c r="I24" s="3" t="s">
        <v>66</v>
      </c>
      <c r="J24" s="3" t="s">
        <v>67</v>
      </c>
      <c r="K24" s="5">
        <v>2980</v>
      </c>
      <c r="L24" s="5">
        <v>2980</v>
      </c>
    </row>
    <row r="25" spans="1:12" ht="47.25" x14ac:dyDescent="0.25">
      <c r="A25" s="2" t="str">
        <f>HYPERLINK("http://prozorro.gov.ua/tender/UA-2022-01-31-002492-c/","UA-2022-01-31-002492-c")</f>
        <v>UA-2022-01-31-002492-c</v>
      </c>
      <c r="B25" s="3" t="s">
        <v>73</v>
      </c>
      <c r="C25" s="3" t="s">
        <v>18</v>
      </c>
      <c r="D25" s="4">
        <v>44592</v>
      </c>
      <c r="E25" s="4">
        <v>44926</v>
      </c>
      <c r="F25" s="3" t="s">
        <v>12</v>
      </c>
      <c r="G25" s="3" t="s">
        <v>13</v>
      </c>
      <c r="H25" s="3" t="s">
        <v>14</v>
      </c>
      <c r="I25" s="3" t="s">
        <v>74</v>
      </c>
      <c r="J25" s="3" t="s">
        <v>75</v>
      </c>
      <c r="K25" s="5">
        <v>10000</v>
      </c>
      <c r="L25" s="5">
        <v>10000</v>
      </c>
    </row>
    <row r="26" spans="1:12" ht="47.25" x14ac:dyDescent="0.25">
      <c r="A26" s="2" t="str">
        <f>HYPERLINK("http://prozorro.gov.ua/tender/UA-2022-01-31-005319-b/","UA-2022-01-31-005319-b")</f>
        <v>UA-2022-01-31-005319-b</v>
      </c>
      <c r="B26" s="3" t="s">
        <v>76</v>
      </c>
      <c r="C26" s="3" t="s">
        <v>18</v>
      </c>
      <c r="D26" s="4">
        <v>44592</v>
      </c>
      <c r="E26" s="4">
        <v>44926</v>
      </c>
      <c r="F26" s="3" t="s">
        <v>12</v>
      </c>
      <c r="G26" s="3" t="s">
        <v>13</v>
      </c>
      <c r="H26" s="3" t="s">
        <v>14</v>
      </c>
      <c r="I26" s="3" t="s">
        <v>28</v>
      </c>
      <c r="J26" s="3" t="s">
        <v>29</v>
      </c>
      <c r="K26" s="5">
        <v>999.86</v>
      </c>
      <c r="L26" s="5">
        <v>999.86</v>
      </c>
    </row>
    <row r="27" spans="1:12" ht="47.25" x14ac:dyDescent="0.25">
      <c r="A27" s="2" t="str">
        <f>HYPERLINK("http://prozorro.gov.ua/tender/UA-2022-02-01-003967-c/","UA-2022-02-01-003967-c")</f>
        <v>UA-2022-02-01-003967-c</v>
      </c>
      <c r="B27" s="3" t="s">
        <v>77</v>
      </c>
      <c r="C27" s="3" t="s">
        <v>18</v>
      </c>
      <c r="D27" s="4">
        <v>44593</v>
      </c>
      <c r="E27" s="4">
        <v>44926</v>
      </c>
      <c r="F27" s="3" t="s">
        <v>12</v>
      </c>
      <c r="G27" s="3" t="s">
        <v>13</v>
      </c>
      <c r="H27" s="3" t="s">
        <v>14</v>
      </c>
      <c r="I27" s="3" t="s">
        <v>78</v>
      </c>
      <c r="J27" s="3" t="s">
        <v>79</v>
      </c>
      <c r="K27" s="5">
        <v>3360</v>
      </c>
      <c r="L27" s="5">
        <v>3360</v>
      </c>
    </row>
    <row r="28" spans="1:12" ht="47.25" x14ac:dyDescent="0.25">
      <c r="A28" s="2" t="str">
        <f>HYPERLINK("http://prozorro.gov.ua/tender/UA-2022-02-02-003569-c/","UA-2022-02-02-003569-c")</f>
        <v>UA-2022-02-02-003569-c</v>
      </c>
      <c r="B28" s="3" t="s">
        <v>80</v>
      </c>
      <c r="C28" s="3" t="s">
        <v>18</v>
      </c>
      <c r="D28" s="4">
        <v>44594</v>
      </c>
      <c r="E28" s="4">
        <v>44926</v>
      </c>
      <c r="F28" s="3" t="s">
        <v>12</v>
      </c>
      <c r="G28" s="3" t="s">
        <v>13</v>
      </c>
      <c r="H28" s="3" t="s">
        <v>14</v>
      </c>
      <c r="I28" s="3" t="s">
        <v>81</v>
      </c>
      <c r="J28" s="3" t="s">
        <v>82</v>
      </c>
      <c r="K28" s="5">
        <v>47790.38</v>
      </c>
      <c r="L28" s="5">
        <v>47790.38</v>
      </c>
    </row>
    <row r="29" spans="1:12" ht="47.25" x14ac:dyDescent="0.25">
      <c r="A29" s="2" t="str">
        <f>HYPERLINK("http://prozorro.gov.ua/tender/UA-2022-02-02-004302-c/","UA-2022-02-02-004302-c")</f>
        <v>UA-2022-02-02-004302-c</v>
      </c>
      <c r="B29" s="3" t="s">
        <v>83</v>
      </c>
      <c r="C29" s="3" t="s">
        <v>18</v>
      </c>
      <c r="D29" s="4">
        <v>44594</v>
      </c>
      <c r="E29" s="4">
        <v>44926</v>
      </c>
      <c r="F29" s="3" t="s">
        <v>12</v>
      </c>
      <c r="G29" s="3" t="s">
        <v>13</v>
      </c>
      <c r="H29" s="3" t="s">
        <v>14</v>
      </c>
      <c r="I29" s="3" t="s">
        <v>84</v>
      </c>
      <c r="J29" s="3" t="s">
        <v>85</v>
      </c>
      <c r="K29" s="5">
        <v>198600</v>
      </c>
      <c r="L29" s="5">
        <v>198600</v>
      </c>
    </row>
    <row r="30" spans="1:12" ht="47.25" x14ac:dyDescent="0.25">
      <c r="A30" s="2" t="str">
        <f>HYPERLINK("http://prozorro.gov.ua/tender/UA-2022-01-26-010089-b/","UA-2022-01-26-010089-b")</f>
        <v>UA-2022-01-26-010089-b</v>
      </c>
      <c r="B30" s="3" t="s">
        <v>86</v>
      </c>
      <c r="C30" s="3" t="s">
        <v>18</v>
      </c>
      <c r="D30" s="4">
        <v>44594</v>
      </c>
      <c r="E30" s="4">
        <v>44926</v>
      </c>
      <c r="F30" s="3" t="s">
        <v>12</v>
      </c>
      <c r="G30" s="3" t="s">
        <v>13</v>
      </c>
      <c r="H30" s="3" t="s">
        <v>14</v>
      </c>
      <c r="I30" s="3" t="s">
        <v>87</v>
      </c>
      <c r="J30" s="3" t="s">
        <v>88</v>
      </c>
      <c r="K30" s="5">
        <v>205536.75</v>
      </c>
      <c r="L30" s="5">
        <v>205536.75</v>
      </c>
    </row>
    <row r="31" spans="1:12" ht="47.25" x14ac:dyDescent="0.25">
      <c r="A31" s="2" t="str">
        <f>HYPERLINK("http://prozorro.gov.ua/tender/UA-2022-01-13-004373-a/","UA-2022-01-13-004373-a")</f>
        <v>UA-2022-01-13-004373-a</v>
      </c>
      <c r="B31" s="3" t="s">
        <v>89</v>
      </c>
      <c r="C31" s="3" t="s">
        <v>18</v>
      </c>
      <c r="D31" s="4">
        <v>44596</v>
      </c>
      <c r="E31" s="4">
        <v>44926</v>
      </c>
      <c r="F31" s="3" t="s">
        <v>12</v>
      </c>
      <c r="G31" s="3" t="s">
        <v>13</v>
      </c>
      <c r="H31" s="3" t="s">
        <v>14</v>
      </c>
      <c r="I31" s="3" t="s">
        <v>90</v>
      </c>
      <c r="J31" s="3" t="s">
        <v>91</v>
      </c>
      <c r="K31" s="5">
        <v>64083.25</v>
      </c>
      <c r="L31" s="5">
        <v>64083.25</v>
      </c>
    </row>
    <row r="32" spans="1:12" ht="47.25" x14ac:dyDescent="0.25">
      <c r="A32" s="2" t="str">
        <f>HYPERLINK("http://prozorro.gov.ua/tender/UA-2022-02-07-000307-c/","UA-2022-02-07-000307-c")</f>
        <v>UA-2022-02-07-000307-c</v>
      </c>
      <c r="B32" s="3" t="s">
        <v>92</v>
      </c>
      <c r="C32" s="3" t="s">
        <v>18</v>
      </c>
      <c r="D32" s="4">
        <v>44599</v>
      </c>
      <c r="E32" s="4">
        <v>44926</v>
      </c>
      <c r="F32" s="3" t="s">
        <v>12</v>
      </c>
      <c r="G32" s="3" t="s">
        <v>13</v>
      </c>
      <c r="H32" s="3" t="s">
        <v>14</v>
      </c>
      <c r="I32" s="3" t="s">
        <v>93</v>
      </c>
      <c r="J32" s="3" t="s">
        <v>94</v>
      </c>
      <c r="K32" s="5">
        <v>576</v>
      </c>
      <c r="L32" s="5">
        <v>576</v>
      </c>
    </row>
    <row r="33" spans="1:12" ht="47.25" x14ac:dyDescent="0.25">
      <c r="A33" s="2" t="str">
        <f>HYPERLINK("http://prozorro.gov.ua/tender/UA-2022-02-07-006214-b/","UA-2022-02-07-006214-b")</f>
        <v>UA-2022-02-07-006214-b</v>
      </c>
      <c r="B33" s="3" t="s">
        <v>95</v>
      </c>
      <c r="C33" s="3" t="s">
        <v>18</v>
      </c>
      <c r="D33" s="4">
        <v>44599</v>
      </c>
      <c r="E33" s="4">
        <v>44926</v>
      </c>
      <c r="F33" s="3" t="s">
        <v>12</v>
      </c>
      <c r="G33" s="3" t="s">
        <v>13</v>
      </c>
      <c r="H33" s="3" t="s">
        <v>14</v>
      </c>
      <c r="I33" s="3" t="s">
        <v>96</v>
      </c>
      <c r="J33" s="3" t="s">
        <v>97</v>
      </c>
      <c r="K33" s="5">
        <v>230</v>
      </c>
      <c r="L33" s="5">
        <v>230</v>
      </c>
    </row>
    <row r="34" spans="1:12" ht="47.25" x14ac:dyDescent="0.25">
      <c r="A34" s="2" t="str">
        <f>HYPERLINK("http://prozorro.gov.ua/tender/UA-2022-02-07-001582-c/","UA-2022-02-07-001582-c")</f>
        <v>UA-2022-02-07-001582-c</v>
      </c>
      <c r="B34" s="3" t="s">
        <v>95</v>
      </c>
      <c r="C34" s="3" t="s">
        <v>18</v>
      </c>
      <c r="D34" s="4">
        <v>44599</v>
      </c>
      <c r="E34" s="4">
        <v>44926</v>
      </c>
      <c r="F34" s="3" t="s">
        <v>12</v>
      </c>
      <c r="G34" s="3" t="s">
        <v>13</v>
      </c>
      <c r="H34" s="3" t="s">
        <v>14</v>
      </c>
      <c r="I34" s="3" t="s">
        <v>96</v>
      </c>
      <c r="J34" s="3" t="s">
        <v>97</v>
      </c>
      <c r="K34" s="5">
        <v>47</v>
      </c>
      <c r="L34" s="5">
        <v>47</v>
      </c>
    </row>
    <row r="35" spans="1:12" ht="47.25" x14ac:dyDescent="0.25">
      <c r="A35" s="2" t="str">
        <f>HYPERLINK("http://prozorro.gov.ua/tender/UA-2022-02-07-001297-a/","UA-2022-02-07-001297-a")</f>
        <v>UA-2022-02-07-001297-a</v>
      </c>
      <c r="B35" s="3" t="s">
        <v>95</v>
      </c>
      <c r="C35" s="3" t="s">
        <v>18</v>
      </c>
      <c r="D35" s="4">
        <v>44599</v>
      </c>
      <c r="E35" s="4">
        <v>44926</v>
      </c>
      <c r="F35" s="3" t="s">
        <v>12</v>
      </c>
      <c r="G35" s="3" t="s">
        <v>13</v>
      </c>
      <c r="H35" s="3" t="s">
        <v>14</v>
      </c>
      <c r="I35" s="3" t="s">
        <v>96</v>
      </c>
      <c r="J35" s="3" t="s">
        <v>97</v>
      </c>
      <c r="K35" s="5">
        <v>135</v>
      </c>
      <c r="L35" s="5">
        <v>135</v>
      </c>
    </row>
    <row r="36" spans="1:12" ht="47.25" x14ac:dyDescent="0.25">
      <c r="A36" s="2" t="str">
        <f>HYPERLINK("http://prozorro.gov.ua/tender/UA-2022-02-07-001323-a/","UA-2022-02-07-001323-a")</f>
        <v>UA-2022-02-07-001323-a</v>
      </c>
      <c r="B36" s="3" t="s">
        <v>95</v>
      </c>
      <c r="C36" s="3" t="s">
        <v>18</v>
      </c>
      <c r="D36" s="4">
        <v>44599</v>
      </c>
      <c r="E36" s="4">
        <v>44926</v>
      </c>
      <c r="F36" s="3" t="s">
        <v>12</v>
      </c>
      <c r="G36" s="3" t="s">
        <v>13</v>
      </c>
      <c r="H36" s="3" t="s">
        <v>14</v>
      </c>
      <c r="I36" s="3" t="s">
        <v>96</v>
      </c>
      <c r="J36" s="3" t="s">
        <v>97</v>
      </c>
      <c r="K36" s="5">
        <v>320</v>
      </c>
      <c r="L36" s="5">
        <v>320</v>
      </c>
    </row>
    <row r="37" spans="1:12" ht="47.25" x14ac:dyDescent="0.25">
      <c r="A37" s="2" t="str">
        <f>HYPERLINK("http://prozorro.gov.ua/tender/UA-2022-02-07-007320-b/","UA-2022-02-07-007320-b")</f>
        <v>UA-2022-02-07-007320-b</v>
      </c>
      <c r="B37" s="3" t="s">
        <v>95</v>
      </c>
      <c r="C37" s="3" t="s">
        <v>18</v>
      </c>
      <c r="D37" s="4">
        <v>44599</v>
      </c>
      <c r="E37" s="4">
        <v>44926</v>
      </c>
      <c r="F37" s="3" t="s">
        <v>12</v>
      </c>
      <c r="G37" s="3" t="s">
        <v>13</v>
      </c>
      <c r="H37" s="3" t="s">
        <v>14</v>
      </c>
      <c r="I37" s="3" t="s">
        <v>96</v>
      </c>
      <c r="J37" s="3" t="s">
        <v>97</v>
      </c>
      <c r="K37" s="5">
        <v>26</v>
      </c>
      <c r="L37" s="5">
        <v>26</v>
      </c>
    </row>
    <row r="38" spans="1:12" ht="47.25" x14ac:dyDescent="0.25">
      <c r="A38" s="2" t="str">
        <f>HYPERLINK("http://prozorro.gov.ua/tender/UA-2022-02-07-002123-c/","UA-2022-02-07-002123-c")</f>
        <v>UA-2022-02-07-002123-c</v>
      </c>
      <c r="B38" s="3" t="s">
        <v>98</v>
      </c>
      <c r="C38" s="3" t="s">
        <v>18</v>
      </c>
      <c r="D38" s="4">
        <v>44599</v>
      </c>
      <c r="E38" s="4">
        <v>44926</v>
      </c>
      <c r="F38" s="3" t="s">
        <v>12</v>
      </c>
      <c r="G38" s="3" t="s">
        <v>13</v>
      </c>
      <c r="H38" s="3" t="s">
        <v>14</v>
      </c>
      <c r="I38" s="3" t="s">
        <v>84</v>
      </c>
      <c r="J38" s="3" t="s">
        <v>85</v>
      </c>
      <c r="K38" s="5">
        <v>14000</v>
      </c>
      <c r="L38" s="5">
        <v>14000</v>
      </c>
    </row>
    <row r="39" spans="1:12" ht="47.25" x14ac:dyDescent="0.25">
      <c r="A39" s="2" t="str">
        <f>HYPERLINK("http://prozorro.gov.ua/tender/UA-2022-02-08-001298-c/","UA-2022-02-08-001298-c")</f>
        <v>UA-2022-02-08-001298-c</v>
      </c>
      <c r="B39" s="3" t="s">
        <v>99</v>
      </c>
      <c r="C39" s="3" t="s">
        <v>18</v>
      </c>
      <c r="D39" s="4">
        <v>44599</v>
      </c>
      <c r="E39" s="4">
        <v>44926</v>
      </c>
      <c r="F39" s="3" t="s">
        <v>12</v>
      </c>
      <c r="G39" s="3" t="s">
        <v>13</v>
      </c>
      <c r="H39" s="3" t="s">
        <v>14</v>
      </c>
      <c r="I39" s="3" t="s">
        <v>100</v>
      </c>
      <c r="J39" s="3" t="s">
        <v>101</v>
      </c>
      <c r="K39" s="5">
        <v>59700</v>
      </c>
      <c r="L39" s="5">
        <v>59700</v>
      </c>
    </row>
    <row r="40" spans="1:12" ht="47.25" x14ac:dyDescent="0.25">
      <c r="A40" s="2" t="str">
        <f>HYPERLINK("http://prozorro.gov.ua/tender/UA-2022-02-09-001364-c/","UA-2022-02-09-001364-c")</f>
        <v>UA-2022-02-09-001364-c</v>
      </c>
      <c r="B40" s="3" t="s">
        <v>102</v>
      </c>
      <c r="C40" s="3" t="s">
        <v>18</v>
      </c>
      <c r="D40" s="4">
        <v>44601</v>
      </c>
      <c r="E40" s="4">
        <v>44926</v>
      </c>
      <c r="F40" s="3" t="s">
        <v>12</v>
      </c>
      <c r="G40" s="3" t="s">
        <v>13</v>
      </c>
      <c r="H40" s="3" t="s">
        <v>14</v>
      </c>
      <c r="I40" s="3" t="s">
        <v>84</v>
      </c>
      <c r="J40" s="3" t="s">
        <v>85</v>
      </c>
      <c r="K40" s="5">
        <v>15000</v>
      </c>
      <c r="L40" s="5">
        <v>15000</v>
      </c>
    </row>
    <row r="41" spans="1:12" ht="47.25" x14ac:dyDescent="0.25">
      <c r="A41" s="2" t="str">
        <f>HYPERLINK("http://prozorro.gov.ua/tender/UA-2022-02-09-002516-a/","UA-2022-02-09-002516-a")</f>
        <v>UA-2022-02-09-002516-a</v>
      </c>
      <c r="B41" s="3" t="s">
        <v>103</v>
      </c>
      <c r="C41" s="3" t="s">
        <v>18</v>
      </c>
      <c r="D41" s="4">
        <v>44601</v>
      </c>
      <c r="E41" s="4">
        <v>44926</v>
      </c>
      <c r="F41" s="3" t="s">
        <v>12</v>
      </c>
      <c r="G41" s="3" t="s">
        <v>13</v>
      </c>
      <c r="H41" s="3" t="s">
        <v>14</v>
      </c>
      <c r="I41" s="3" t="s">
        <v>104</v>
      </c>
      <c r="J41" s="3" t="s">
        <v>105</v>
      </c>
      <c r="K41" s="5">
        <v>18000</v>
      </c>
      <c r="L41" s="5">
        <v>18000</v>
      </c>
    </row>
    <row r="42" spans="1:12" ht="47.25" x14ac:dyDescent="0.25">
      <c r="A42" s="2" t="str">
        <f>HYPERLINK("http://prozorro.gov.ua/tender/UA-2022-02-09-012700-b/","UA-2022-02-09-012700-b")</f>
        <v>UA-2022-02-09-012700-b</v>
      </c>
      <c r="B42" s="3" t="s">
        <v>106</v>
      </c>
      <c r="C42" s="3" t="s">
        <v>18</v>
      </c>
      <c r="D42" s="4">
        <v>44601</v>
      </c>
      <c r="E42" s="4">
        <v>44926</v>
      </c>
      <c r="F42" s="3" t="s">
        <v>12</v>
      </c>
      <c r="G42" s="3" t="s">
        <v>13</v>
      </c>
      <c r="H42" s="3" t="s">
        <v>14</v>
      </c>
      <c r="I42" s="3" t="s">
        <v>84</v>
      </c>
      <c r="J42" s="3" t="s">
        <v>85</v>
      </c>
      <c r="K42" s="5">
        <v>6320</v>
      </c>
      <c r="L42" s="5">
        <v>6320</v>
      </c>
    </row>
    <row r="43" spans="1:12" ht="47.25" x14ac:dyDescent="0.25">
      <c r="A43" s="2" t="str">
        <f>HYPERLINK("http://prozorro.gov.ua/tender/UA-2022-02-10-000913-a/","UA-2022-02-10-000913-a")</f>
        <v>UA-2022-02-10-000913-a</v>
      </c>
      <c r="B43" s="3" t="s">
        <v>107</v>
      </c>
      <c r="C43" s="3" t="s">
        <v>18</v>
      </c>
      <c r="D43" s="4">
        <v>44602</v>
      </c>
      <c r="E43" s="4">
        <v>44926</v>
      </c>
      <c r="F43" s="3" t="s">
        <v>12</v>
      </c>
      <c r="G43" s="3" t="s">
        <v>13</v>
      </c>
      <c r="H43" s="3" t="s">
        <v>14</v>
      </c>
      <c r="I43" s="3" t="s">
        <v>84</v>
      </c>
      <c r="J43" s="3" t="s">
        <v>85</v>
      </c>
      <c r="K43" s="5">
        <v>6000</v>
      </c>
      <c r="L43" s="5">
        <v>6000</v>
      </c>
    </row>
    <row r="44" spans="1:12" ht="47.25" x14ac:dyDescent="0.25">
      <c r="A44" s="2" t="str">
        <f>HYPERLINK("http://prozorro.gov.ua/tender/UA-2022-01-31-001618-a/","UA-2022-01-31-001618-a")</f>
        <v>UA-2022-01-31-001618-a</v>
      </c>
      <c r="B44" s="3" t="s">
        <v>108</v>
      </c>
      <c r="C44" s="3" t="s">
        <v>18</v>
      </c>
      <c r="D44" s="4">
        <v>44607</v>
      </c>
      <c r="E44" s="4">
        <v>44926</v>
      </c>
      <c r="F44" s="3" t="s">
        <v>12</v>
      </c>
      <c r="G44" s="3" t="s">
        <v>13</v>
      </c>
      <c r="H44" s="3" t="s">
        <v>14</v>
      </c>
      <c r="I44" s="3" t="s">
        <v>50</v>
      </c>
      <c r="J44" s="3" t="s">
        <v>51</v>
      </c>
      <c r="K44" s="5">
        <v>17640</v>
      </c>
      <c r="L44" s="5">
        <v>17640</v>
      </c>
    </row>
    <row r="45" spans="1:12" ht="63" x14ac:dyDescent="0.25">
      <c r="A45" s="2" t="str">
        <f>HYPERLINK("http://prozorro.gov.ua/tender/UA-2022-02-17-001872-a/","UA-2022-02-17-001872-a")</f>
        <v>UA-2022-02-17-001872-a</v>
      </c>
      <c r="B45" s="3" t="s">
        <v>109</v>
      </c>
      <c r="C45" s="3" t="s">
        <v>18</v>
      </c>
      <c r="D45" s="4">
        <v>44609</v>
      </c>
      <c r="E45" s="4">
        <v>44926</v>
      </c>
      <c r="F45" s="3" t="s">
        <v>12</v>
      </c>
      <c r="G45" s="3" t="s">
        <v>13</v>
      </c>
      <c r="H45" s="3" t="s">
        <v>14</v>
      </c>
      <c r="I45" s="3" t="s">
        <v>110</v>
      </c>
      <c r="J45" s="3" t="s">
        <v>111</v>
      </c>
      <c r="K45" s="5">
        <v>69300</v>
      </c>
      <c r="L45" s="5">
        <v>69300</v>
      </c>
    </row>
    <row r="46" spans="1:12" ht="47.25" x14ac:dyDescent="0.25">
      <c r="A46" s="2" t="str">
        <f>HYPERLINK("http://prozorro.gov.ua/tender/UA-2022-02-08-007694-b/","UA-2022-02-08-007694-b")</f>
        <v>UA-2022-02-08-007694-b</v>
      </c>
      <c r="B46" s="3" t="s">
        <v>112</v>
      </c>
      <c r="C46" s="3" t="s">
        <v>18</v>
      </c>
      <c r="D46" s="4">
        <v>44613</v>
      </c>
      <c r="E46" s="4">
        <v>44958</v>
      </c>
      <c r="F46" s="3" t="s">
        <v>12</v>
      </c>
      <c r="G46" s="3" t="s">
        <v>13</v>
      </c>
      <c r="H46" s="3" t="s">
        <v>14</v>
      </c>
      <c r="I46" s="3" t="s">
        <v>59</v>
      </c>
      <c r="J46" s="3" t="s">
        <v>60</v>
      </c>
      <c r="K46" s="5">
        <v>223200</v>
      </c>
      <c r="L46" s="5">
        <v>223076.5</v>
      </c>
    </row>
    <row r="47" spans="1:12" ht="47.25" x14ac:dyDescent="0.25">
      <c r="A47" s="2" t="str">
        <f>HYPERLINK("http://prozorro.gov.ua/tender/UA-2022-02-22-000980-a/","UA-2022-02-22-000980-a")</f>
        <v>UA-2022-02-22-000980-a</v>
      </c>
      <c r="B47" s="3" t="s">
        <v>113</v>
      </c>
      <c r="C47" s="3" t="s">
        <v>18</v>
      </c>
      <c r="D47" s="4">
        <v>44614</v>
      </c>
      <c r="E47" s="4">
        <v>44926</v>
      </c>
      <c r="F47" s="3" t="s">
        <v>12</v>
      </c>
      <c r="G47" s="3" t="s">
        <v>13</v>
      </c>
      <c r="H47" s="3" t="s">
        <v>14</v>
      </c>
      <c r="I47" s="3" t="s">
        <v>114</v>
      </c>
      <c r="J47" s="3" t="s">
        <v>115</v>
      </c>
      <c r="K47" s="5">
        <v>15000</v>
      </c>
      <c r="L47" s="5">
        <v>15000</v>
      </c>
    </row>
    <row r="48" spans="1:12" ht="47.25" x14ac:dyDescent="0.25">
      <c r="A48" s="2" t="str">
        <f>HYPERLINK("http://prozorro.gov.ua/tender/UA-2022-02-22-011362-b/","UA-2022-02-22-011362-b")</f>
        <v>UA-2022-02-22-011362-b</v>
      </c>
      <c r="B48" s="3" t="s">
        <v>116</v>
      </c>
      <c r="C48" s="3" t="s">
        <v>18</v>
      </c>
      <c r="D48" s="4">
        <v>44614</v>
      </c>
      <c r="E48" s="4">
        <v>44926</v>
      </c>
      <c r="F48" s="3" t="s">
        <v>12</v>
      </c>
      <c r="G48" s="3" t="s">
        <v>13</v>
      </c>
      <c r="H48" s="3" t="s">
        <v>14</v>
      </c>
      <c r="I48" s="3" t="s">
        <v>78</v>
      </c>
      <c r="J48" s="3" t="s">
        <v>79</v>
      </c>
      <c r="K48" s="5">
        <v>3417</v>
      </c>
      <c r="L48" s="5">
        <v>3417</v>
      </c>
    </row>
    <row r="49" spans="1:12" ht="47.25" x14ac:dyDescent="0.25">
      <c r="A49" s="2" t="str">
        <f>HYPERLINK("http://prozorro.gov.ua/tender/UA-2022-02-22-011999-b/","UA-2022-02-22-011999-b")</f>
        <v>UA-2022-02-22-011999-b</v>
      </c>
      <c r="B49" s="3" t="s">
        <v>117</v>
      </c>
      <c r="C49" s="3" t="s">
        <v>18</v>
      </c>
      <c r="D49" s="4">
        <v>44614</v>
      </c>
      <c r="E49" s="4">
        <v>44926</v>
      </c>
      <c r="F49" s="3" t="s">
        <v>12</v>
      </c>
      <c r="G49" s="3" t="s">
        <v>13</v>
      </c>
      <c r="H49" s="3" t="s">
        <v>14</v>
      </c>
      <c r="I49" s="3" t="s">
        <v>78</v>
      </c>
      <c r="J49" s="3" t="s">
        <v>79</v>
      </c>
      <c r="K49" s="5">
        <v>5558</v>
      </c>
      <c r="L49" s="5">
        <v>5558</v>
      </c>
    </row>
    <row r="50" spans="1:12" ht="47.25" x14ac:dyDescent="0.25">
      <c r="A50" s="2" t="str">
        <f>HYPERLINK("http://prozorro.gov.ua/tender/UA-2022-02-22-002592-c/","UA-2022-02-22-002592-c")</f>
        <v>UA-2022-02-22-002592-c</v>
      </c>
      <c r="B50" s="3" t="s">
        <v>118</v>
      </c>
      <c r="C50" s="3" t="s">
        <v>18</v>
      </c>
      <c r="D50" s="4">
        <v>44608</v>
      </c>
      <c r="E50" s="4">
        <v>44926</v>
      </c>
      <c r="F50" s="3" t="s">
        <v>12</v>
      </c>
      <c r="G50" s="3" t="s">
        <v>13</v>
      </c>
      <c r="H50" s="3" t="s">
        <v>14</v>
      </c>
      <c r="I50" s="3" t="s">
        <v>31</v>
      </c>
      <c r="J50" s="3" t="s">
        <v>32</v>
      </c>
      <c r="K50" s="5">
        <v>10650</v>
      </c>
      <c r="L50" s="5">
        <v>10650</v>
      </c>
    </row>
    <row r="51" spans="1:12" ht="47.25" x14ac:dyDescent="0.25">
      <c r="A51" s="2" t="str">
        <f>HYPERLINK("http://prozorro.gov.ua/tender/UA-2022-02-23-004588-a/","UA-2022-02-23-004588-a")</f>
        <v>UA-2022-02-23-004588-a</v>
      </c>
      <c r="B51" s="3" t="s">
        <v>119</v>
      </c>
      <c r="C51" s="3" t="s">
        <v>18</v>
      </c>
      <c r="D51" s="4">
        <v>44615</v>
      </c>
      <c r="E51" s="4">
        <v>44926</v>
      </c>
      <c r="F51" s="3" t="s">
        <v>12</v>
      </c>
      <c r="G51" s="3" t="s">
        <v>13</v>
      </c>
      <c r="H51" s="3" t="s">
        <v>14</v>
      </c>
      <c r="I51" s="3" t="s">
        <v>31</v>
      </c>
      <c r="J51" s="3" t="s">
        <v>32</v>
      </c>
      <c r="K51" s="5">
        <v>1419</v>
      </c>
      <c r="L51" s="5">
        <v>1419</v>
      </c>
    </row>
    <row r="52" spans="1:12" ht="47.25" x14ac:dyDescent="0.25">
      <c r="A52" s="2" t="str">
        <f>HYPERLINK("http://prozorro.gov.ua/tender/UA-2022-02-23-002564-b/","UA-2022-02-23-002564-b")</f>
        <v>UA-2022-02-23-002564-b</v>
      </c>
      <c r="B52" s="3" t="s">
        <v>120</v>
      </c>
      <c r="C52" s="3" t="s">
        <v>18</v>
      </c>
      <c r="D52" s="4">
        <v>44615</v>
      </c>
      <c r="E52" s="4">
        <v>44926</v>
      </c>
      <c r="F52" s="3" t="s">
        <v>12</v>
      </c>
      <c r="G52" s="3" t="s">
        <v>13</v>
      </c>
      <c r="H52" s="3" t="s">
        <v>14</v>
      </c>
      <c r="I52" s="3" t="s">
        <v>78</v>
      </c>
      <c r="J52" s="3" t="s">
        <v>79</v>
      </c>
      <c r="K52" s="5">
        <v>3375</v>
      </c>
      <c r="L52" s="5">
        <v>3375</v>
      </c>
    </row>
    <row r="53" spans="1:12" ht="47.25" x14ac:dyDescent="0.25">
      <c r="A53" s="2" t="str">
        <f>HYPERLINK("http://prozorro.gov.ua/tender/UA-2022-02-23-005694-a/","UA-2022-02-23-005694-a")</f>
        <v>UA-2022-02-23-005694-a</v>
      </c>
      <c r="B53" s="3" t="s">
        <v>121</v>
      </c>
      <c r="C53" s="3" t="s">
        <v>18</v>
      </c>
      <c r="D53" s="4">
        <v>44615</v>
      </c>
      <c r="E53" s="4">
        <v>44926</v>
      </c>
      <c r="F53" s="3" t="s">
        <v>12</v>
      </c>
      <c r="G53" s="3" t="s">
        <v>13</v>
      </c>
      <c r="H53" s="3" t="s">
        <v>14</v>
      </c>
      <c r="I53" s="3" t="s">
        <v>78</v>
      </c>
      <c r="J53" s="3" t="s">
        <v>79</v>
      </c>
      <c r="K53" s="5">
        <v>21104</v>
      </c>
      <c r="L53" s="5">
        <v>21104</v>
      </c>
    </row>
    <row r="54" spans="1:12" ht="47.25" x14ac:dyDescent="0.25">
      <c r="A54" s="2" t="str">
        <f>HYPERLINK("http://prozorro.gov.ua/tender/UA-2022-02-24-000946-a/","UA-2022-02-24-000946-a")</f>
        <v>UA-2022-02-24-000946-a</v>
      </c>
      <c r="B54" s="3" t="s">
        <v>122</v>
      </c>
      <c r="C54" s="3" t="s">
        <v>18</v>
      </c>
      <c r="D54" s="4">
        <v>44616</v>
      </c>
      <c r="E54" s="4">
        <v>44926</v>
      </c>
      <c r="F54" s="3" t="s">
        <v>12</v>
      </c>
      <c r="G54" s="3" t="s">
        <v>13</v>
      </c>
      <c r="H54" s="3" t="s">
        <v>14</v>
      </c>
      <c r="I54" s="3" t="s">
        <v>123</v>
      </c>
      <c r="J54" s="3" t="s">
        <v>124</v>
      </c>
      <c r="K54" s="5">
        <v>15000</v>
      </c>
      <c r="L54" s="5">
        <v>15000</v>
      </c>
    </row>
    <row r="55" spans="1:12" ht="47.25" x14ac:dyDescent="0.25">
      <c r="A55" s="2" t="str">
        <f>HYPERLINK("http://prozorro.gov.ua/tender/UA-2022-03-10-002615-a/","UA-2022-03-10-002615-a")</f>
        <v>UA-2022-03-10-002615-a</v>
      </c>
      <c r="B55" s="3" t="s">
        <v>125</v>
      </c>
      <c r="C55" s="3" t="s">
        <v>18</v>
      </c>
      <c r="D55" s="4">
        <v>44630</v>
      </c>
      <c r="E55" s="4">
        <v>44926</v>
      </c>
      <c r="F55" s="3" t="s">
        <v>12</v>
      </c>
      <c r="G55" s="3" t="s">
        <v>13</v>
      </c>
      <c r="H55" s="3" t="s">
        <v>14</v>
      </c>
      <c r="I55" s="3" t="s">
        <v>126</v>
      </c>
      <c r="J55" s="3" t="s">
        <v>127</v>
      </c>
      <c r="K55" s="5">
        <v>2877</v>
      </c>
      <c r="L55" s="5">
        <v>2877</v>
      </c>
    </row>
    <row r="56" spans="1:12" ht="47.25" x14ac:dyDescent="0.25">
      <c r="A56" s="2" t="str">
        <f>HYPERLINK("http://prozorro.gov.ua/tender/UA-2022-03-18-000847-a/","UA-2022-03-18-000847-a")</f>
        <v>UA-2022-03-18-000847-a</v>
      </c>
      <c r="B56" s="3" t="s">
        <v>128</v>
      </c>
      <c r="C56" s="3" t="s">
        <v>18</v>
      </c>
      <c r="D56" s="4">
        <v>44638</v>
      </c>
      <c r="E56" s="4">
        <v>44926</v>
      </c>
      <c r="F56" s="3" t="s">
        <v>12</v>
      </c>
      <c r="G56" s="3" t="s">
        <v>13</v>
      </c>
      <c r="H56" s="3" t="s">
        <v>14</v>
      </c>
      <c r="I56" s="3" t="s">
        <v>129</v>
      </c>
      <c r="J56" s="3" t="s">
        <v>130</v>
      </c>
      <c r="K56" s="5">
        <v>3470</v>
      </c>
      <c r="L56" s="5">
        <v>3470</v>
      </c>
    </row>
    <row r="57" spans="1:12" ht="47.25" x14ac:dyDescent="0.25">
      <c r="A57" s="2" t="str">
        <f>HYPERLINK("http://prozorro.gov.ua/tender/UA-2022-03-18-000982-a/","UA-2022-03-18-000982-a")</f>
        <v>UA-2022-03-18-000982-a</v>
      </c>
      <c r="B57" s="3" t="s">
        <v>131</v>
      </c>
      <c r="C57" s="3" t="s">
        <v>18</v>
      </c>
      <c r="D57" s="4">
        <v>44638</v>
      </c>
      <c r="E57" s="4">
        <v>44926</v>
      </c>
      <c r="F57" s="3" t="s">
        <v>12</v>
      </c>
      <c r="G57" s="3" t="s">
        <v>13</v>
      </c>
      <c r="H57" s="3" t="s">
        <v>14</v>
      </c>
      <c r="I57" s="3" t="s">
        <v>28</v>
      </c>
      <c r="J57" s="3" t="s">
        <v>29</v>
      </c>
      <c r="K57" s="5">
        <v>611.51</v>
      </c>
      <c r="L57" s="5">
        <v>611.51</v>
      </c>
    </row>
    <row r="58" spans="1:12" ht="47.25" x14ac:dyDescent="0.25">
      <c r="A58" s="2" t="str">
        <f>HYPERLINK("http://prozorro.gov.ua/tender/UA-2022-03-22-000342-a/","UA-2022-03-22-000342-a")</f>
        <v>UA-2022-03-22-000342-a</v>
      </c>
      <c r="B58" s="3" t="s">
        <v>132</v>
      </c>
      <c r="C58" s="3" t="s">
        <v>18</v>
      </c>
      <c r="D58" s="4">
        <v>44642</v>
      </c>
      <c r="E58" s="4">
        <v>44926</v>
      </c>
      <c r="F58" s="3" t="s">
        <v>12</v>
      </c>
      <c r="G58" s="3" t="s">
        <v>13</v>
      </c>
      <c r="H58" s="3" t="s">
        <v>14</v>
      </c>
      <c r="I58" s="3" t="s">
        <v>93</v>
      </c>
      <c r="J58" s="3" t="s">
        <v>94</v>
      </c>
      <c r="K58" s="5">
        <v>85</v>
      </c>
      <c r="L58" s="5">
        <v>85</v>
      </c>
    </row>
    <row r="59" spans="1:12" ht="47.25" x14ac:dyDescent="0.25">
      <c r="A59" s="2" t="str">
        <f>HYPERLINK("http://prozorro.gov.ua/tender/UA-2022-03-22-000081-b/","UA-2022-03-22-000081-b")</f>
        <v>UA-2022-03-22-000081-b</v>
      </c>
      <c r="B59" s="3" t="s">
        <v>132</v>
      </c>
      <c r="C59" s="3" t="s">
        <v>18</v>
      </c>
      <c r="D59" s="4">
        <v>44642</v>
      </c>
      <c r="E59" s="4">
        <v>44926</v>
      </c>
      <c r="F59" s="3" t="s">
        <v>12</v>
      </c>
      <c r="G59" s="3" t="s">
        <v>13</v>
      </c>
      <c r="H59" s="3" t="s">
        <v>14</v>
      </c>
      <c r="I59" s="3" t="s">
        <v>93</v>
      </c>
      <c r="J59" s="3" t="s">
        <v>94</v>
      </c>
      <c r="K59" s="5">
        <v>36</v>
      </c>
      <c r="L59" s="5">
        <v>36</v>
      </c>
    </row>
    <row r="60" spans="1:12" ht="47.25" x14ac:dyDescent="0.25">
      <c r="A60" s="2" t="str">
        <f>HYPERLINK("http://prozorro.gov.ua/tender/UA-2022-03-22-000468-a/","UA-2022-03-22-000468-a")</f>
        <v>UA-2022-03-22-000468-a</v>
      </c>
      <c r="B60" s="3" t="s">
        <v>132</v>
      </c>
      <c r="C60" s="3" t="s">
        <v>18</v>
      </c>
      <c r="D60" s="4">
        <v>44642</v>
      </c>
      <c r="E60" s="4">
        <v>44926</v>
      </c>
      <c r="F60" s="3" t="s">
        <v>12</v>
      </c>
      <c r="G60" s="3" t="s">
        <v>13</v>
      </c>
      <c r="H60" s="3" t="s">
        <v>14</v>
      </c>
      <c r="I60" s="3" t="s">
        <v>93</v>
      </c>
      <c r="J60" s="3" t="s">
        <v>94</v>
      </c>
      <c r="K60" s="5">
        <v>239</v>
      </c>
      <c r="L60" s="5">
        <v>239</v>
      </c>
    </row>
    <row r="61" spans="1:12" ht="47.25" x14ac:dyDescent="0.25">
      <c r="A61" s="2" t="str">
        <f>HYPERLINK("http://prozorro.gov.ua/tender/UA-2022-03-22-000115-b/","UA-2022-03-22-000115-b")</f>
        <v>UA-2022-03-22-000115-b</v>
      </c>
      <c r="B61" s="3" t="s">
        <v>132</v>
      </c>
      <c r="C61" s="3" t="s">
        <v>18</v>
      </c>
      <c r="D61" s="4">
        <v>44642</v>
      </c>
      <c r="E61" s="4">
        <v>44926</v>
      </c>
      <c r="F61" s="3" t="s">
        <v>12</v>
      </c>
      <c r="G61" s="3" t="s">
        <v>13</v>
      </c>
      <c r="H61" s="3" t="s">
        <v>14</v>
      </c>
      <c r="I61" s="3" t="s">
        <v>93</v>
      </c>
      <c r="J61" s="3" t="s">
        <v>94</v>
      </c>
      <c r="K61" s="5">
        <v>380</v>
      </c>
      <c r="L61" s="5">
        <v>380</v>
      </c>
    </row>
    <row r="62" spans="1:12" ht="47.25" x14ac:dyDescent="0.25">
      <c r="A62" s="2" t="str">
        <f>HYPERLINK("http://prozorro.gov.ua/tender/UA-2022-03-22-000171-c/","UA-2022-03-22-000171-c")</f>
        <v>UA-2022-03-22-000171-c</v>
      </c>
      <c r="B62" s="3" t="s">
        <v>132</v>
      </c>
      <c r="C62" s="3" t="s">
        <v>18</v>
      </c>
      <c r="D62" s="4">
        <v>44642</v>
      </c>
      <c r="E62" s="4">
        <v>44926</v>
      </c>
      <c r="F62" s="3" t="s">
        <v>12</v>
      </c>
      <c r="G62" s="3" t="s">
        <v>13</v>
      </c>
      <c r="H62" s="3" t="s">
        <v>14</v>
      </c>
      <c r="I62" s="3" t="s">
        <v>93</v>
      </c>
      <c r="J62" s="3" t="s">
        <v>94</v>
      </c>
      <c r="K62" s="5">
        <v>204</v>
      </c>
      <c r="L62" s="5">
        <v>204</v>
      </c>
    </row>
    <row r="63" spans="1:12" ht="47.25" x14ac:dyDescent="0.25">
      <c r="A63" s="2" t="str">
        <f>HYPERLINK("http://prozorro.gov.ua/tender/UA-2022-03-23-000162-a/","UA-2022-03-23-000162-a")</f>
        <v>UA-2022-03-23-000162-a</v>
      </c>
      <c r="B63" s="3" t="s">
        <v>133</v>
      </c>
      <c r="C63" s="3" t="s">
        <v>18</v>
      </c>
      <c r="D63" s="4">
        <v>44643</v>
      </c>
      <c r="E63" s="4">
        <v>44926</v>
      </c>
      <c r="F63" s="3" t="s">
        <v>12</v>
      </c>
      <c r="G63" s="3" t="s">
        <v>13</v>
      </c>
      <c r="H63" s="3" t="s">
        <v>14</v>
      </c>
      <c r="I63" s="3" t="s">
        <v>93</v>
      </c>
      <c r="J63" s="3" t="s">
        <v>94</v>
      </c>
      <c r="K63" s="5">
        <v>245</v>
      </c>
      <c r="L63" s="5">
        <v>245</v>
      </c>
    </row>
    <row r="64" spans="1:12" ht="47.25" x14ac:dyDescent="0.25">
      <c r="A64" s="2" t="str">
        <f>HYPERLINK("http://prozorro.gov.ua/tender/UA-2022-03-23-000186-a/","UA-2022-03-23-000186-a")</f>
        <v>UA-2022-03-23-000186-a</v>
      </c>
      <c r="B64" s="3" t="s">
        <v>133</v>
      </c>
      <c r="C64" s="3" t="s">
        <v>18</v>
      </c>
      <c r="D64" s="4">
        <v>44643</v>
      </c>
      <c r="E64" s="4">
        <v>44926</v>
      </c>
      <c r="F64" s="3" t="s">
        <v>12</v>
      </c>
      <c r="G64" s="3" t="s">
        <v>13</v>
      </c>
      <c r="H64" s="3" t="s">
        <v>14</v>
      </c>
      <c r="I64" s="3" t="s">
        <v>93</v>
      </c>
      <c r="J64" s="3" t="s">
        <v>94</v>
      </c>
      <c r="K64" s="5">
        <v>215</v>
      </c>
      <c r="L64" s="5">
        <v>215</v>
      </c>
    </row>
    <row r="65" spans="1:12" ht="47.25" x14ac:dyDescent="0.25">
      <c r="A65" s="2" t="str">
        <f>HYPERLINK("http://prozorro.gov.ua/tender/UA-2022-03-23-000118-c/","UA-2022-03-23-000118-c")</f>
        <v>UA-2022-03-23-000118-c</v>
      </c>
      <c r="B65" s="3" t="s">
        <v>133</v>
      </c>
      <c r="C65" s="3" t="s">
        <v>18</v>
      </c>
      <c r="D65" s="4">
        <v>44643</v>
      </c>
      <c r="E65" s="4">
        <v>44926</v>
      </c>
      <c r="F65" s="3" t="s">
        <v>12</v>
      </c>
      <c r="G65" s="3" t="s">
        <v>13</v>
      </c>
      <c r="H65" s="3" t="s">
        <v>14</v>
      </c>
      <c r="I65" s="3" t="s">
        <v>93</v>
      </c>
      <c r="J65" s="3" t="s">
        <v>94</v>
      </c>
      <c r="K65" s="5">
        <v>60</v>
      </c>
      <c r="L65" s="5">
        <v>60</v>
      </c>
    </row>
    <row r="66" spans="1:12" ht="47.25" x14ac:dyDescent="0.25">
      <c r="A66" s="2" t="str">
        <f>HYPERLINK("http://prozorro.gov.ua/tender/UA-2022-03-23-000221-a/","UA-2022-03-23-000221-a")</f>
        <v>UA-2022-03-23-000221-a</v>
      </c>
      <c r="B66" s="3" t="s">
        <v>133</v>
      </c>
      <c r="C66" s="3" t="s">
        <v>18</v>
      </c>
      <c r="D66" s="4">
        <v>44643</v>
      </c>
      <c r="E66" s="4">
        <v>44926</v>
      </c>
      <c r="F66" s="3" t="s">
        <v>12</v>
      </c>
      <c r="G66" s="3" t="s">
        <v>13</v>
      </c>
      <c r="H66" s="3" t="s">
        <v>14</v>
      </c>
      <c r="I66" s="3" t="s">
        <v>93</v>
      </c>
      <c r="J66" s="3" t="s">
        <v>94</v>
      </c>
      <c r="K66" s="5">
        <v>87</v>
      </c>
      <c r="L66" s="5">
        <v>87</v>
      </c>
    </row>
    <row r="67" spans="1:12" ht="47.25" x14ac:dyDescent="0.25">
      <c r="A67" s="2" t="str">
        <f>HYPERLINK("http://prozorro.gov.ua/tender/UA-2022-03-23-000147-c/","UA-2022-03-23-000147-c")</f>
        <v>UA-2022-03-23-000147-c</v>
      </c>
      <c r="B67" s="3" t="s">
        <v>133</v>
      </c>
      <c r="C67" s="3" t="s">
        <v>18</v>
      </c>
      <c r="D67" s="4">
        <v>44643</v>
      </c>
      <c r="E67" s="4">
        <v>44926</v>
      </c>
      <c r="F67" s="3" t="s">
        <v>12</v>
      </c>
      <c r="G67" s="3" t="s">
        <v>13</v>
      </c>
      <c r="H67" s="3" t="s">
        <v>14</v>
      </c>
      <c r="I67" s="3" t="s">
        <v>93</v>
      </c>
      <c r="J67" s="3" t="s">
        <v>94</v>
      </c>
      <c r="K67" s="5">
        <v>115</v>
      </c>
      <c r="L67" s="5">
        <v>115</v>
      </c>
    </row>
    <row r="68" spans="1:12" ht="47.25" x14ac:dyDescent="0.25">
      <c r="A68" s="2" t="str">
        <f>HYPERLINK("http://prozorro.gov.ua/tender/UA-2022-03-23-000153-c/","UA-2022-03-23-000153-c")</f>
        <v>UA-2022-03-23-000153-c</v>
      </c>
      <c r="B68" s="3" t="s">
        <v>133</v>
      </c>
      <c r="C68" s="3" t="s">
        <v>18</v>
      </c>
      <c r="D68" s="4">
        <v>44643</v>
      </c>
      <c r="E68" s="4">
        <v>44926</v>
      </c>
      <c r="F68" s="3" t="s">
        <v>12</v>
      </c>
      <c r="G68" s="3" t="s">
        <v>13</v>
      </c>
      <c r="H68" s="3" t="s">
        <v>14</v>
      </c>
      <c r="I68" s="3" t="s">
        <v>93</v>
      </c>
      <c r="J68" s="3" t="s">
        <v>94</v>
      </c>
      <c r="K68" s="5">
        <v>116</v>
      </c>
      <c r="L68" s="5">
        <v>116</v>
      </c>
    </row>
    <row r="69" spans="1:12" ht="47.25" x14ac:dyDescent="0.25">
      <c r="A69" s="2" t="str">
        <f>HYPERLINK("http://prozorro.gov.ua/tender/UA-2022-03-23-000160-c/","UA-2022-03-23-000160-c")</f>
        <v>UA-2022-03-23-000160-c</v>
      </c>
      <c r="B69" s="3" t="s">
        <v>133</v>
      </c>
      <c r="C69" s="3" t="s">
        <v>18</v>
      </c>
      <c r="D69" s="4">
        <v>44643</v>
      </c>
      <c r="E69" s="4">
        <v>44926</v>
      </c>
      <c r="F69" s="3" t="s">
        <v>12</v>
      </c>
      <c r="G69" s="3" t="s">
        <v>13</v>
      </c>
      <c r="H69" s="3" t="s">
        <v>14</v>
      </c>
      <c r="I69" s="3" t="s">
        <v>93</v>
      </c>
      <c r="J69" s="3" t="s">
        <v>94</v>
      </c>
      <c r="K69" s="5">
        <v>1410</v>
      </c>
      <c r="L69" s="5">
        <v>1410</v>
      </c>
    </row>
    <row r="70" spans="1:12" ht="47.25" x14ac:dyDescent="0.25">
      <c r="A70" s="2" t="str">
        <f>HYPERLINK("http://prozorro.gov.ua/tender/UA-2022-03-23-000667-b/","UA-2022-03-23-000667-b")</f>
        <v>UA-2022-03-23-000667-b</v>
      </c>
      <c r="B70" s="3" t="s">
        <v>133</v>
      </c>
      <c r="C70" s="3" t="s">
        <v>18</v>
      </c>
      <c r="D70" s="4">
        <v>44643</v>
      </c>
      <c r="E70" s="4">
        <v>44926</v>
      </c>
      <c r="F70" s="3" t="s">
        <v>12</v>
      </c>
      <c r="G70" s="3" t="s">
        <v>13</v>
      </c>
      <c r="H70" s="3" t="s">
        <v>14</v>
      </c>
      <c r="I70" s="3" t="s">
        <v>93</v>
      </c>
      <c r="J70" s="3" t="s">
        <v>94</v>
      </c>
      <c r="K70" s="5">
        <v>213</v>
      </c>
      <c r="L70" s="5">
        <v>213</v>
      </c>
    </row>
    <row r="71" spans="1:12" ht="47.25" x14ac:dyDescent="0.25">
      <c r="A71" s="2" t="str">
        <f>HYPERLINK("http://prozorro.gov.ua/tender/UA-2022-03-23-000211-c/","UA-2022-03-23-000211-c")</f>
        <v>UA-2022-03-23-000211-c</v>
      </c>
      <c r="B71" s="3" t="s">
        <v>133</v>
      </c>
      <c r="C71" s="3" t="s">
        <v>18</v>
      </c>
      <c r="D71" s="4">
        <v>44643</v>
      </c>
      <c r="E71" s="4">
        <v>44926</v>
      </c>
      <c r="F71" s="3" t="s">
        <v>12</v>
      </c>
      <c r="G71" s="3" t="s">
        <v>13</v>
      </c>
      <c r="H71" s="3" t="s">
        <v>14</v>
      </c>
      <c r="I71" s="3" t="s">
        <v>93</v>
      </c>
      <c r="J71" s="3" t="s">
        <v>94</v>
      </c>
      <c r="K71" s="5">
        <v>115</v>
      </c>
      <c r="L71" s="5">
        <v>115</v>
      </c>
    </row>
    <row r="72" spans="1:12" ht="47.25" x14ac:dyDescent="0.25">
      <c r="A72" s="2" t="str">
        <f>HYPERLINK("http://prozorro.gov.ua/tender/UA-2022-03-23-000815-a/","UA-2022-03-23-000815-a")</f>
        <v>UA-2022-03-23-000815-a</v>
      </c>
      <c r="B72" s="3" t="s">
        <v>134</v>
      </c>
      <c r="C72" s="3" t="s">
        <v>18</v>
      </c>
      <c r="D72" s="4">
        <v>44643</v>
      </c>
      <c r="E72" s="4">
        <v>45016</v>
      </c>
      <c r="F72" s="3" t="s">
        <v>12</v>
      </c>
      <c r="G72" s="3" t="s">
        <v>13</v>
      </c>
      <c r="H72" s="3" t="s">
        <v>14</v>
      </c>
      <c r="I72" s="3" t="s">
        <v>135</v>
      </c>
      <c r="J72" s="3" t="s">
        <v>136</v>
      </c>
      <c r="K72" s="5">
        <v>7980</v>
      </c>
      <c r="L72" s="5">
        <v>7980</v>
      </c>
    </row>
    <row r="73" spans="1:12" ht="47.25" x14ac:dyDescent="0.25">
      <c r="A73" s="2" t="str">
        <f>HYPERLINK("http://prozorro.gov.ua/tender/UA-2022-03-28-001797-b/","UA-2022-03-28-001797-b")</f>
        <v>UA-2022-03-28-001797-b</v>
      </c>
      <c r="B73" s="3" t="s">
        <v>137</v>
      </c>
      <c r="C73" s="3" t="s">
        <v>18</v>
      </c>
      <c r="D73" s="4">
        <v>44648</v>
      </c>
      <c r="E73" s="4">
        <v>44926</v>
      </c>
      <c r="F73" s="3" t="s">
        <v>12</v>
      </c>
      <c r="G73" s="3" t="s">
        <v>13</v>
      </c>
      <c r="H73" s="3" t="s">
        <v>14</v>
      </c>
      <c r="I73" s="3" t="s">
        <v>138</v>
      </c>
      <c r="J73" s="3" t="s">
        <v>139</v>
      </c>
      <c r="K73" s="5">
        <v>34500.910000000003</v>
      </c>
      <c r="L73" s="5">
        <v>34500.910000000003</v>
      </c>
    </row>
    <row r="74" spans="1:12" ht="47.25" x14ac:dyDescent="0.25">
      <c r="A74" s="2" t="str">
        <f>HYPERLINK("http://prozorro.gov.ua/tender/UA-2022-03-29-002213-b/","UA-2022-03-29-002213-b")</f>
        <v>UA-2022-03-29-002213-b</v>
      </c>
      <c r="B74" s="3" t="s">
        <v>140</v>
      </c>
      <c r="C74" s="3" t="s">
        <v>18</v>
      </c>
      <c r="D74" s="4">
        <v>44649</v>
      </c>
      <c r="E74" s="4">
        <v>44681</v>
      </c>
      <c r="F74" s="3" t="s">
        <v>12</v>
      </c>
      <c r="G74" s="3" t="s">
        <v>13</v>
      </c>
      <c r="H74" s="3" t="s">
        <v>14</v>
      </c>
      <c r="I74" s="3" t="s">
        <v>141</v>
      </c>
      <c r="J74" s="3" t="s">
        <v>142</v>
      </c>
      <c r="K74" s="5">
        <v>5484</v>
      </c>
      <c r="L74" s="5">
        <v>5484</v>
      </c>
    </row>
    <row r="75" spans="1:12" ht="47.25" x14ac:dyDescent="0.25">
      <c r="A75" s="2" t="str">
        <f>HYPERLINK("http://prozorro.gov.ua/tender/UA-2022-03-29-000439-a/","UA-2022-03-29-000439-a")</f>
        <v>UA-2022-03-29-000439-a</v>
      </c>
      <c r="B75" s="3" t="s">
        <v>140</v>
      </c>
      <c r="C75" s="3" t="s">
        <v>18</v>
      </c>
      <c r="D75" s="4">
        <v>44649</v>
      </c>
      <c r="E75" s="4">
        <v>44681</v>
      </c>
      <c r="F75" s="3" t="s">
        <v>12</v>
      </c>
      <c r="G75" s="3" t="s">
        <v>13</v>
      </c>
      <c r="H75" s="3" t="s">
        <v>14</v>
      </c>
      <c r="I75" s="3" t="s">
        <v>141</v>
      </c>
      <c r="J75" s="3" t="s">
        <v>142</v>
      </c>
      <c r="K75" s="5">
        <v>6081</v>
      </c>
      <c r="L75" s="5">
        <v>6081</v>
      </c>
    </row>
    <row r="76" spans="1:12" ht="47.25" x14ac:dyDescent="0.25">
      <c r="A76" s="2" t="str">
        <f>HYPERLINK("http://prozorro.gov.ua/tender/UA-2022-03-29-002293-b/","UA-2022-03-29-002293-b")</f>
        <v>UA-2022-03-29-002293-b</v>
      </c>
      <c r="B76" s="3" t="s">
        <v>140</v>
      </c>
      <c r="C76" s="3" t="s">
        <v>18</v>
      </c>
      <c r="D76" s="4">
        <v>44649</v>
      </c>
      <c r="E76" s="4">
        <v>44681</v>
      </c>
      <c r="F76" s="3" t="s">
        <v>12</v>
      </c>
      <c r="G76" s="3" t="s">
        <v>13</v>
      </c>
      <c r="H76" s="3" t="s">
        <v>14</v>
      </c>
      <c r="I76" s="3" t="s">
        <v>141</v>
      </c>
      <c r="J76" s="3" t="s">
        <v>142</v>
      </c>
      <c r="K76" s="5">
        <v>1678</v>
      </c>
      <c r="L76" s="5">
        <v>1678</v>
      </c>
    </row>
    <row r="77" spans="1:12" ht="47.25" x14ac:dyDescent="0.25">
      <c r="A77" s="2" t="str">
        <f>HYPERLINK("http://prozorro.gov.ua/tender/UA-2022-03-29-000470-a/","UA-2022-03-29-000470-a")</f>
        <v>UA-2022-03-29-000470-a</v>
      </c>
      <c r="B77" s="3" t="s">
        <v>140</v>
      </c>
      <c r="C77" s="3" t="s">
        <v>18</v>
      </c>
      <c r="D77" s="4">
        <v>44649</v>
      </c>
      <c r="E77" s="4">
        <v>44681</v>
      </c>
      <c r="F77" s="3" t="s">
        <v>12</v>
      </c>
      <c r="G77" s="3" t="s">
        <v>13</v>
      </c>
      <c r="H77" s="3" t="s">
        <v>14</v>
      </c>
      <c r="I77" s="3" t="s">
        <v>141</v>
      </c>
      <c r="J77" s="3" t="s">
        <v>142</v>
      </c>
      <c r="K77" s="5">
        <v>540</v>
      </c>
      <c r="L77" s="5">
        <v>540</v>
      </c>
    </row>
    <row r="78" spans="1:12" ht="47.25" x14ac:dyDescent="0.25">
      <c r="A78" s="2" t="str">
        <f>HYPERLINK("http://prozorro.gov.ua/tender/UA-2022-03-29-000479-a/","UA-2022-03-29-000479-a")</f>
        <v>UA-2022-03-29-000479-a</v>
      </c>
      <c r="B78" s="3" t="s">
        <v>140</v>
      </c>
      <c r="C78" s="3" t="s">
        <v>18</v>
      </c>
      <c r="D78" s="4">
        <v>44649</v>
      </c>
      <c r="E78" s="4">
        <v>44681</v>
      </c>
      <c r="F78" s="3" t="s">
        <v>12</v>
      </c>
      <c r="G78" s="3" t="s">
        <v>13</v>
      </c>
      <c r="H78" s="3" t="s">
        <v>14</v>
      </c>
      <c r="I78" s="3" t="s">
        <v>141</v>
      </c>
      <c r="J78" s="3" t="s">
        <v>142</v>
      </c>
      <c r="K78" s="5">
        <v>10</v>
      </c>
      <c r="L78" s="5">
        <v>10</v>
      </c>
    </row>
    <row r="79" spans="1:12" ht="47.25" x14ac:dyDescent="0.25">
      <c r="A79" s="2" t="str">
        <f>HYPERLINK("http://prozorro.gov.ua/tender/UA-2022-03-29-002478-b/","UA-2022-03-29-002478-b")</f>
        <v>UA-2022-03-29-002478-b</v>
      </c>
      <c r="B79" s="3" t="s">
        <v>140</v>
      </c>
      <c r="C79" s="3" t="s">
        <v>18</v>
      </c>
      <c r="D79" s="4">
        <v>44649</v>
      </c>
      <c r="E79" s="4">
        <v>44681</v>
      </c>
      <c r="F79" s="3" t="s">
        <v>12</v>
      </c>
      <c r="G79" s="3" t="s">
        <v>13</v>
      </c>
      <c r="H79" s="3" t="s">
        <v>14</v>
      </c>
      <c r="I79" s="3" t="s">
        <v>141</v>
      </c>
      <c r="J79" s="3" t="s">
        <v>142</v>
      </c>
      <c r="K79" s="5">
        <v>96</v>
      </c>
      <c r="L79" s="5">
        <v>96</v>
      </c>
    </row>
    <row r="80" spans="1:12" ht="47.25" x14ac:dyDescent="0.25">
      <c r="A80" s="2" t="str">
        <f>HYPERLINK("http://prozorro.gov.ua/tender/UA-2022-03-29-000475-c/","UA-2022-03-29-000475-c")</f>
        <v>UA-2022-03-29-000475-c</v>
      </c>
      <c r="B80" s="3" t="s">
        <v>140</v>
      </c>
      <c r="C80" s="3" t="s">
        <v>18</v>
      </c>
      <c r="D80" s="4">
        <v>44649</v>
      </c>
      <c r="E80" s="4">
        <v>44681</v>
      </c>
      <c r="F80" s="3" t="s">
        <v>12</v>
      </c>
      <c r="G80" s="3" t="s">
        <v>13</v>
      </c>
      <c r="H80" s="3" t="s">
        <v>14</v>
      </c>
      <c r="I80" s="3" t="s">
        <v>141</v>
      </c>
      <c r="J80" s="3" t="s">
        <v>142</v>
      </c>
      <c r="K80" s="5">
        <v>695</v>
      </c>
      <c r="L80" s="5">
        <v>695</v>
      </c>
    </row>
    <row r="81" spans="1:12" ht="47.25" x14ac:dyDescent="0.25">
      <c r="A81" s="2" t="str">
        <f>HYPERLINK("http://prozorro.gov.ua/tender/UA-2022-03-31-000688-b/","UA-2022-03-31-000688-b")</f>
        <v>UA-2022-03-31-000688-b</v>
      </c>
      <c r="B81" s="3" t="s">
        <v>143</v>
      </c>
      <c r="C81" s="3" t="s">
        <v>18</v>
      </c>
      <c r="D81" s="4">
        <v>44651</v>
      </c>
      <c r="E81" s="4">
        <v>44926</v>
      </c>
      <c r="F81" s="3" t="s">
        <v>12</v>
      </c>
      <c r="G81" s="3" t="s">
        <v>13</v>
      </c>
      <c r="H81" s="3" t="s">
        <v>14</v>
      </c>
      <c r="I81" s="3" t="s">
        <v>78</v>
      </c>
      <c r="J81" s="3" t="s">
        <v>79</v>
      </c>
      <c r="K81" s="5">
        <v>1512</v>
      </c>
      <c r="L81" s="5">
        <v>1512</v>
      </c>
    </row>
    <row r="82" spans="1:12" ht="47.25" x14ac:dyDescent="0.25">
      <c r="A82" s="2" t="str">
        <f>HYPERLINK("http://prozorro.gov.ua/tender/UA-2022-03-31-000872-b/","UA-2022-03-31-000872-b")</f>
        <v>UA-2022-03-31-000872-b</v>
      </c>
      <c r="B82" s="3" t="s">
        <v>144</v>
      </c>
      <c r="C82" s="3" t="s">
        <v>18</v>
      </c>
      <c r="D82" s="4">
        <v>44651</v>
      </c>
      <c r="E82" s="4">
        <v>44926</v>
      </c>
      <c r="F82" s="3" t="s">
        <v>12</v>
      </c>
      <c r="G82" s="3" t="s">
        <v>13</v>
      </c>
      <c r="H82" s="3" t="s">
        <v>14</v>
      </c>
      <c r="I82" s="3" t="s">
        <v>78</v>
      </c>
      <c r="J82" s="3" t="s">
        <v>79</v>
      </c>
      <c r="K82" s="5">
        <v>28940.5</v>
      </c>
      <c r="L82" s="5">
        <v>28940.5</v>
      </c>
    </row>
    <row r="83" spans="1:12" ht="47.25" x14ac:dyDescent="0.25">
      <c r="A83" s="2" t="str">
        <f>HYPERLINK("http://prozorro.gov.ua/tender/UA-2022-03-31-000961-b/","UA-2022-03-31-000961-b")</f>
        <v>UA-2022-03-31-000961-b</v>
      </c>
      <c r="B83" s="3" t="s">
        <v>145</v>
      </c>
      <c r="C83" s="3" t="s">
        <v>18</v>
      </c>
      <c r="D83" s="4">
        <v>44651</v>
      </c>
      <c r="E83" s="4">
        <v>44926</v>
      </c>
      <c r="F83" s="3" t="s">
        <v>12</v>
      </c>
      <c r="G83" s="3" t="s">
        <v>13</v>
      </c>
      <c r="H83" s="3" t="s">
        <v>14</v>
      </c>
      <c r="I83" s="3" t="s">
        <v>78</v>
      </c>
      <c r="J83" s="3" t="s">
        <v>79</v>
      </c>
      <c r="K83" s="5">
        <v>1587.5</v>
      </c>
      <c r="L83" s="5">
        <v>1587.5</v>
      </c>
    </row>
    <row r="84" spans="1:12" ht="47.25" x14ac:dyDescent="0.25">
      <c r="A84" s="2" t="str">
        <f>HYPERLINK("http://prozorro.gov.ua/tender/UA-2022-03-31-000540-c/","UA-2022-03-31-000540-c")</f>
        <v>UA-2022-03-31-000540-c</v>
      </c>
      <c r="B84" s="3" t="s">
        <v>146</v>
      </c>
      <c r="C84" s="3" t="s">
        <v>18</v>
      </c>
      <c r="D84" s="4">
        <v>44651</v>
      </c>
      <c r="E84" s="4">
        <v>44926</v>
      </c>
      <c r="F84" s="3" t="s">
        <v>12</v>
      </c>
      <c r="G84" s="3" t="s">
        <v>13</v>
      </c>
      <c r="H84" s="3" t="s">
        <v>14</v>
      </c>
      <c r="I84" s="3" t="s">
        <v>126</v>
      </c>
      <c r="J84" s="3" t="s">
        <v>127</v>
      </c>
      <c r="K84" s="5">
        <v>2466</v>
      </c>
      <c r="L84" s="5">
        <v>2466</v>
      </c>
    </row>
    <row r="85" spans="1:12" ht="47.25" x14ac:dyDescent="0.25">
      <c r="A85" s="2" t="str">
        <f>HYPERLINK("http://prozorro.gov.ua/tender/UA-2022-04-01-000606-c/","UA-2022-04-01-000606-c")</f>
        <v>UA-2022-04-01-000606-c</v>
      </c>
      <c r="B85" s="3" t="s">
        <v>147</v>
      </c>
      <c r="C85" s="3" t="s">
        <v>18</v>
      </c>
      <c r="D85" s="4">
        <v>44652</v>
      </c>
      <c r="E85" s="4">
        <v>44926</v>
      </c>
      <c r="F85" s="3" t="s">
        <v>12</v>
      </c>
      <c r="G85" s="3" t="s">
        <v>13</v>
      </c>
      <c r="H85" s="3" t="s">
        <v>14</v>
      </c>
      <c r="I85" s="3" t="s">
        <v>96</v>
      </c>
      <c r="J85" s="3" t="s">
        <v>97</v>
      </c>
      <c r="K85" s="5">
        <v>75</v>
      </c>
      <c r="L85" s="5">
        <v>75</v>
      </c>
    </row>
    <row r="86" spans="1:12" ht="47.25" x14ac:dyDescent="0.25">
      <c r="A86" s="2" t="str">
        <f>HYPERLINK("http://prozorro.gov.ua/tender/UA-2022-04-01-000679-c/","UA-2022-04-01-000679-c")</f>
        <v>UA-2022-04-01-000679-c</v>
      </c>
      <c r="B86" s="3" t="s">
        <v>147</v>
      </c>
      <c r="C86" s="3" t="s">
        <v>18</v>
      </c>
      <c r="D86" s="4">
        <v>44652</v>
      </c>
      <c r="E86" s="4">
        <v>44926</v>
      </c>
      <c r="F86" s="3" t="s">
        <v>12</v>
      </c>
      <c r="G86" s="3" t="s">
        <v>13</v>
      </c>
      <c r="H86" s="3" t="s">
        <v>14</v>
      </c>
      <c r="I86" s="3" t="s">
        <v>96</v>
      </c>
      <c r="J86" s="3" t="s">
        <v>97</v>
      </c>
      <c r="K86" s="5">
        <v>100</v>
      </c>
      <c r="L86" s="5">
        <v>100</v>
      </c>
    </row>
    <row r="87" spans="1:12" ht="47.25" x14ac:dyDescent="0.25">
      <c r="A87" s="2" t="str">
        <f>HYPERLINK("http://prozorro.gov.ua/tender/UA-2022-04-01-000354-a/","UA-2022-04-01-000354-a")</f>
        <v>UA-2022-04-01-000354-a</v>
      </c>
      <c r="B87" s="3" t="s">
        <v>147</v>
      </c>
      <c r="C87" s="3" t="s">
        <v>18</v>
      </c>
      <c r="D87" s="4">
        <v>44652</v>
      </c>
      <c r="E87" s="4">
        <v>44926</v>
      </c>
      <c r="F87" s="3" t="s">
        <v>12</v>
      </c>
      <c r="G87" s="3" t="s">
        <v>13</v>
      </c>
      <c r="H87" s="3" t="s">
        <v>14</v>
      </c>
      <c r="I87" s="3" t="s">
        <v>96</v>
      </c>
      <c r="J87" s="3" t="s">
        <v>97</v>
      </c>
      <c r="K87" s="5">
        <v>1882</v>
      </c>
      <c r="L87" s="5">
        <v>1882</v>
      </c>
    </row>
    <row r="88" spans="1:12" ht="47.25" x14ac:dyDescent="0.25">
      <c r="A88" s="2" t="str">
        <f>HYPERLINK("http://prozorro.gov.ua/tender/UA-2022-04-06-000599-a/","UA-2022-04-06-000599-a")</f>
        <v>UA-2022-04-06-000599-a</v>
      </c>
      <c r="B88" s="3" t="s">
        <v>148</v>
      </c>
      <c r="C88" s="3" t="s">
        <v>18</v>
      </c>
      <c r="D88" s="4">
        <v>44657</v>
      </c>
      <c r="E88" s="4">
        <v>44926</v>
      </c>
      <c r="F88" s="3" t="s">
        <v>12</v>
      </c>
      <c r="G88" s="3" t="s">
        <v>13</v>
      </c>
      <c r="H88" s="3" t="s">
        <v>14</v>
      </c>
      <c r="I88" s="3" t="s">
        <v>149</v>
      </c>
      <c r="J88" s="3" t="s">
        <v>150</v>
      </c>
      <c r="K88" s="5">
        <v>4800</v>
      </c>
      <c r="L88" s="5">
        <v>4800</v>
      </c>
    </row>
    <row r="89" spans="1:12" ht="47.25" x14ac:dyDescent="0.25">
      <c r="A89" s="2" t="str">
        <f>HYPERLINK("http://prozorro.gov.ua/tender/UA-2022-04-13-000853-c/","UA-2022-04-13-000853-c")</f>
        <v>UA-2022-04-13-000853-c</v>
      </c>
      <c r="B89" s="3" t="s">
        <v>151</v>
      </c>
      <c r="C89" s="3" t="s">
        <v>18</v>
      </c>
      <c r="D89" s="4">
        <v>44664</v>
      </c>
      <c r="E89" s="4">
        <v>44926</v>
      </c>
      <c r="F89" s="3" t="s">
        <v>12</v>
      </c>
      <c r="G89" s="3" t="s">
        <v>13</v>
      </c>
      <c r="H89" s="3" t="s">
        <v>14</v>
      </c>
      <c r="I89" s="3" t="s">
        <v>152</v>
      </c>
      <c r="J89" s="3" t="s">
        <v>153</v>
      </c>
      <c r="K89" s="5">
        <v>48950</v>
      </c>
      <c r="L89" s="5">
        <v>48950</v>
      </c>
    </row>
    <row r="90" spans="1:12" ht="47.25" x14ac:dyDescent="0.25">
      <c r="A90" s="2" t="str">
        <f>HYPERLINK("http://prozorro.gov.ua/tender/UA-2022-04-22-001291-a/","UA-2022-04-22-001291-a")</f>
        <v>UA-2022-04-22-001291-a</v>
      </c>
      <c r="B90" s="3" t="s">
        <v>154</v>
      </c>
      <c r="C90" s="3" t="s">
        <v>18</v>
      </c>
      <c r="D90" s="4">
        <v>44673</v>
      </c>
      <c r="E90" s="4">
        <v>44926</v>
      </c>
      <c r="F90" s="3" t="s">
        <v>12</v>
      </c>
      <c r="G90" s="3" t="s">
        <v>13</v>
      </c>
      <c r="H90" s="3" t="s">
        <v>14</v>
      </c>
      <c r="I90" s="3" t="s">
        <v>155</v>
      </c>
      <c r="J90" s="3" t="s">
        <v>156</v>
      </c>
      <c r="K90" s="5">
        <v>10000</v>
      </c>
      <c r="L90" s="5">
        <v>10000</v>
      </c>
    </row>
    <row r="91" spans="1:12" ht="47.25" x14ac:dyDescent="0.25">
      <c r="A91" s="2" t="str">
        <f>HYPERLINK("http://prozorro.gov.ua/tender/UA-2022-05-16-002213-a/","UA-2022-05-16-002213-a")</f>
        <v>UA-2022-05-16-002213-a</v>
      </c>
      <c r="B91" s="3" t="s">
        <v>157</v>
      </c>
      <c r="C91" s="3" t="s">
        <v>18</v>
      </c>
      <c r="D91" s="4">
        <v>44697</v>
      </c>
      <c r="E91" s="4">
        <v>44926</v>
      </c>
      <c r="F91" s="3" t="s">
        <v>12</v>
      </c>
      <c r="G91" s="3" t="s">
        <v>13</v>
      </c>
      <c r="H91" s="3" t="s">
        <v>14</v>
      </c>
      <c r="I91" s="3" t="s">
        <v>155</v>
      </c>
      <c r="J91" s="3" t="s">
        <v>156</v>
      </c>
      <c r="K91" s="5">
        <v>2455.92</v>
      </c>
      <c r="L91" s="5">
        <v>2455.92</v>
      </c>
    </row>
    <row r="92" spans="1:12" ht="47.25" x14ac:dyDescent="0.25">
      <c r="A92" s="2" t="str">
        <f>HYPERLINK("http://prozorro.gov.ua/tender/UA-2022-05-18-002631-a/","UA-2022-05-18-002631-a")</f>
        <v>UA-2022-05-18-002631-a</v>
      </c>
      <c r="B92" s="3" t="s">
        <v>158</v>
      </c>
      <c r="C92" s="3" t="s">
        <v>18</v>
      </c>
      <c r="D92" s="4">
        <v>44699</v>
      </c>
      <c r="E92" s="4">
        <v>44926</v>
      </c>
      <c r="F92" s="3" t="s">
        <v>12</v>
      </c>
      <c r="G92" s="3" t="s">
        <v>13</v>
      </c>
      <c r="H92" s="3" t="s">
        <v>14</v>
      </c>
      <c r="I92" s="3" t="s">
        <v>84</v>
      </c>
      <c r="J92" s="3" t="s">
        <v>85</v>
      </c>
      <c r="K92" s="5">
        <v>4750</v>
      </c>
      <c r="L92" s="5">
        <v>4750</v>
      </c>
    </row>
    <row r="93" spans="1:12" ht="47.25" x14ac:dyDescent="0.25">
      <c r="A93" s="2" t="str">
        <f>HYPERLINK("http://prozorro.gov.ua/tender/UA-2022-05-18-002732-a/","UA-2022-05-18-002732-a")</f>
        <v>UA-2022-05-18-002732-a</v>
      </c>
      <c r="B93" s="3" t="s">
        <v>159</v>
      </c>
      <c r="C93" s="3" t="s">
        <v>18</v>
      </c>
      <c r="D93" s="4">
        <v>44699</v>
      </c>
      <c r="E93" s="4">
        <v>44926</v>
      </c>
      <c r="F93" s="3" t="s">
        <v>12</v>
      </c>
      <c r="G93" s="3" t="s">
        <v>13</v>
      </c>
      <c r="H93" s="3" t="s">
        <v>14</v>
      </c>
      <c r="I93" s="3" t="s">
        <v>84</v>
      </c>
      <c r="J93" s="3" t="s">
        <v>85</v>
      </c>
      <c r="K93" s="5">
        <v>6968</v>
      </c>
      <c r="L93" s="5">
        <v>6968</v>
      </c>
    </row>
    <row r="94" spans="1:12" ht="47.25" x14ac:dyDescent="0.25">
      <c r="A94" s="2" t="str">
        <f>HYPERLINK("http://prozorro.gov.ua/tender/UA-2022-05-20-002571-a/","UA-2022-05-20-002571-a")</f>
        <v>UA-2022-05-20-002571-a</v>
      </c>
      <c r="B94" s="3" t="s">
        <v>160</v>
      </c>
      <c r="C94" s="3" t="s">
        <v>18</v>
      </c>
      <c r="D94" s="4">
        <v>44701</v>
      </c>
      <c r="E94" s="4">
        <v>44926</v>
      </c>
      <c r="F94" s="3" t="s">
        <v>12</v>
      </c>
      <c r="G94" s="3" t="s">
        <v>13</v>
      </c>
      <c r="H94" s="3" t="s">
        <v>14</v>
      </c>
      <c r="I94" s="3" t="s">
        <v>161</v>
      </c>
      <c r="J94" s="3" t="s">
        <v>162</v>
      </c>
      <c r="K94" s="5">
        <v>290</v>
      </c>
      <c r="L94" s="5">
        <v>290</v>
      </c>
    </row>
    <row r="95" spans="1:12" ht="47.25" x14ac:dyDescent="0.25">
      <c r="A95" s="2" t="str">
        <f>HYPERLINK("http://prozorro.gov.ua/tender/UA-2022-05-20-002645-a/","UA-2022-05-20-002645-a")</f>
        <v>UA-2022-05-20-002645-a</v>
      </c>
      <c r="B95" s="3" t="s">
        <v>160</v>
      </c>
      <c r="C95" s="3" t="s">
        <v>18</v>
      </c>
      <c r="D95" s="4">
        <v>44701</v>
      </c>
      <c r="E95" s="4">
        <v>44926</v>
      </c>
      <c r="F95" s="3" t="s">
        <v>12</v>
      </c>
      <c r="G95" s="3" t="s">
        <v>13</v>
      </c>
      <c r="H95" s="3" t="s">
        <v>14</v>
      </c>
      <c r="I95" s="3" t="s">
        <v>161</v>
      </c>
      <c r="J95" s="3" t="s">
        <v>162</v>
      </c>
      <c r="K95" s="5">
        <v>852</v>
      </c>
      <c r="L95" s="5">
        <v>852</v>
      </c>
    </row>
    <row r="96" spans="1:12" ht="47.25" x14ac:dyDescent="0.25">
      <c r="A96" s="2" t="str">
        <f>HYPERLINK("http://prozorro.gov.ua/tender/UA-2022-05-20-002681-a/","UA-2022-05-20-002681-a")</f>
        <v>UA-2022-05-20-002681-a</v>
      </c>
      <c r="B96" s="3" t="s">
        <v>160</v>
      </c>
      <c r="C96" s="3" t="s">
        <v>18</v>
      </c>
      <c r="D96" s="4">
        <v>44701</v>
      </c>
      <c r="E96" s="4">
        <v>44926</v>
      </c>
      <c r="F96" s="3" t="s">
        <v>12</v>
      </c>
      <c r="G96" s="3" t="s">
        <v>13</v>
      </c>
      <c r="H96" s="3" t="s">
        <v>14</v>
      </c>
      <c r="I96" s="3" t="s">
        <v>161</v>
      </c>
      <c r="J96" s="3" t="s">
        <v>162</v>
      </c>
      <c r="K96" s="5">
        <v>1500</v>
      </c>
      <c r="L96" s="5">
        <v>1500</v>
      </c>
    </row>
    <row r="97" spans="1:12" ht="47.25" x14ac:dyDescent="0.25">
      <c r="A97" s="2" t="str">
        <f>HYPERLINK("http://prozorro.gov.ua/tender/UA-2022-05-20-002788-a/","UA-2022-05-20-002788-a")</f>
        <v>UA-2022-05-20-002788-a</v>
      </c>
      <c r="B97" s="3" t="s">
        <v>160</v>
      </c>
      <c r="C97" s="3" t="s">
        <v>18</v>
      </c>
      <c r="D97" s="4">
        <v>44701</v>
      </c>
      <c r="E97" s="4">
        <v>44926</v>
      </c>
      <c r="F97" s="3" t="s">
        <v>12</v>
      </c>
      <c r="G97" s="3" t="s">
        <v>13</v>
      </c>
      <c r="H97" s="3" t="s">
        <v>14</v>
      </c>
      <c r="I97" s="3" t="s">
        <v>161</v>
      </c>
      <c r="J97" s="3" t="s">
        <v>162</v>
      </c>
      <c r="K97" s="5">
        <v>1170</v>
      </c>
      <c r="L97" s="5">
        <v>1170</v>
      </c>
    </row>
    <row r="98" spans="1:12" ht="47.25" x14ac:dyDescent="0.25">
      <c r="A98" s="2" t="str">
        <f>HYPERLINK("http://prozorro.gov.ua/tender/UA-2022-05-20-002850-a/","UA-2022-05-20-002850-a")</f>
        <v>UA-2022-05-20-002850-a</v>
      </c>
      <c r="B98" s="3" t="s">
        <v>160</v>
      </c>
      <c r="C98" s="3" t="s">
        <v>18</v>
      </c>
      <c r="D98" s="4">
        <v>44701</v>
      </c>
      <c r="E98" s="4">
        <v>44926</v>
      </c>
      <c r="F98" s="3" t="s">
        <v>12</v>
      </c>
      <c r="G98" s="3" t="s">
        <v>13</v>
      </c>
      <c r="H98" s="3" t="s">
        <v>14</v>
      </c>
      <c r="I98" s="3" t="s">
        <v>161</v>
      </c>
      <c r="J98" s="3" t="s">
        <v>162</v>
      </c>
      <c r="K98" s="5">
        <v>45</v>
      </c>
      <c r="L98" s="5">
        <v>45</v>
      </c>
    </row>
    <row r="99" spans="1:12" ht="47.25" x14ac:dyDescent="0.25">
      <c r="A99" s="2" t="str">
        <f>HYPERLINK("http://prozorro.gov.ua/tender/UA-2022-05-20-002902-a/","UA-2022-05-20-002902-a")</f>
        <v>UA-2022-05-20-002902-a</v>
      </c>
      <c r="B99" s="3" t="s">
        <v>160</v>
      </c>
      <c r="C99" s="3" t="s">
        <v>18</v>
      </c>
      <c r="D99" s="4">
        <v>44701</v>
      </c>
      <c r="E99" s="4">
        <v>44926</v>
      </c>
      <c r="F99" s="3" t="s">
        <v>12</v>
      </c>
      <c r="G99" s="3" t="s">
        <v>13</v>
      </c>
      <c r="H99" s="3" t="s">
        <v>14</v>
      </c>
      <c r="I99" s="3" t="s">
        <v>161</v>
      </c>
      <c r="J99" s="3" t="s">
        <v>162</v>
      </c>
      <c r="K99" s="5">
        <v>525</v>
      </c>
      <c r="L99" s="5">
        <v>525</v>
      </c>
    </row>
    <row r="100" spans="1:12" ht="47.25" x14ac:dyDescent="0.25">
      <c r="A100" s="2" t="str">
        <f>HYPERLINK("http://prozorro.gov.ua/tender/UA-2022-05-20-002963-a/","UA-2022-05-20-002963-a")</f>
        <v>UA-2022-05-20-002963-a</v>
      </c>
      <c r="B100" s="3" t="s">
        <v>160</v>
      </c>
      <c r="C100" s="3" t="s">
        <v>18</v>
      </c>
      <c r="D100" s="4">
        <v>44701</v>
      </c>
      <c r="E100" s="4">
        <v>44926</v>
      </c>
      <c r="F100" s="3" t="s">
        <v>12</v>
      </c>
      <c r="G100" s="3" t="s">
        <v>13</v>
      </c>
      <c r="H100" s="3" t="s">
        <v>14</v>
      </c>
      <c r="I100" s="3" t="s">
        <v>161</v>
      </c>
      <c r="J100" s="3" t="s">
        <v>162</v>
      </c>
      <c r="K100" s="5">
        <v>243</v>
      </c>
      <c r="L100" s="5">
        <v>243</v>
      </c>
    </row>
    <row r="101" spans="1:12" ht="47.25" x14ac:dyDescent="0.25">
      <c r="A101" s="2" t="str">
        <f>HYPERLINK("http://prozorro.gov.ua/tender/UA-2022-05-20-003046-a/","UA-2022-05-20-003046-a")</f>
        <v>UA-2022-05-20-003046-a</v>
      </c>
      <c r="B101" s="3" t="s">
        <v>160</v>
      </c>
      <c r="C101" s="3" t="s">
        <v>18</v>
      </c>
      <c r="D101" s="4">
        <v>44701</v>
      </c>
      <c r="E101" s="4">
        <v>44926</v>
      </c>
      <c r="F101" s="3" t="s">
        <v>12</v>
      </c>
      <c r="G101" s="3" t="s">
        <v>13</v>
      </c>
      <c r="H101" s="3" t="s">
        <v>14</v>
      </c>
      <c r="I101" s="3" t="s">
        <v>161</v>
      </c>
      <c r="J101" s="3" t="s">
        <v>162</v>
      </c>
      <c r="K101" s="5">
        <v>165</v>
      </c>
      <c r="L101" s="5">
        <v>165</v>
      </c>
    </row>
    <row r="102" spans="1:12" ht="47.25" x14ac:dyDescent="0.25">
      <c r="A102" s="2" t="str">
        <f>HYPERLINK("http://prozorro.gov.ua/tender/UA-2022-05-20-003129-a/","UA-2022-05-20-003129-a")</f>
        <v>UA-2022-05-20-003129-a</v>
      </c>
      <c r="B102" s="3" t="s">
        <v>160</v>
      </c>
      <c r="C102" s="3" t="s">
        <v>18</v>
      </c>
      <c r="D102" s="4">
        <v>44701</v>
      </c>
      <c r="E102" s="4">
        <v>44926</v>
      </c>
      <c r="F102" s="3" t="s">
        <v>12</v>
      </c>
      <c r="G102" s="3" t="s">
        <v>13</v>
      </c>
      <c r="H102" s="3" t="s">
        <v>14</v>
      </c>
      <c r="I102" s="3" t="s">
        <v>161</v>
      </c>
      <c r="J102" s="3" t="s">
        <v>162</v>
      </c>
      <c r="K102" s="5">
        <v>630</v>
      </c>
      <c r="L102" s="5">
        <v>630</v>
      </c>
    </row>
    <row r="103" spans="1:12" ht="47.25" x14ac:dyDescent="0.25">
      <c r="A103" s="2" t="str">
        <f>HYPERLINK("http://prozorro.gov.ua/tender/UA-2022-05-20-003182-a/","UA-2022-05-20-003182-a")</f>
        <v>UA-2022-05-20-003182-a</v>
      </c>
      <c r="B103" s="3" t="s">
        <v>160</v>
      </c>
      <c r="C103" s="3" t="s">
        <v>18</v>
      </c>
      <c r="D103" s="4">
        <v>44701</v>
      </c>
      <c r="E103" s="4">
        <v>44926</v>
      </c>
      <c r="F103" s="3" t="s">
        <v>12</v>
      </c>
      <c r="G103" s="3" t="s">
        <v>13</v>
      </c>
      <c r="H103" s="3" t="s">
        <v>14</v>
      </c>
      <c r="I103" s="3" t="s">
        <v>161</v>
      </c>
      <c r="J103" s="3" t="s">
        <v>162</v>
      </c>
      <c r="K103" s="5">
        <v>90</v>
      </c>
      <c r="L103" s="5">
        <v>90</v>
      </c>
    </row>
    <row r="104" spans="1:12" ht="47.25" x14ac:dyDescent="0.25">
      <c r="A104" s="2" t="str">
        <f>HYPERLINK("http://prozorro.gov.ua/tender/UA-2022-05-23-000067-a/","UA-2022-05-23-000067-a")</f>
        <v>UA-2022-05-23-000067-a</v>
      </c>
      <c r="B104" s="3" t="s">
        <v>163</v>
      </c>
      <c r="C104" s="3" t="s">
        <v>18</v>
      </c>
      <c r="D104" s="4">
        <v>44704</v>
      </c>
      <c r="E104" s="4">
        <v>44706</v>
      </c>
      <c r="F104" s="3" t="s">
        <v>12</v>
      </c>
      <c r="G104" s="3" t="s">
        <v>13</v>
      </c>
      <c r="H104" s="3" t="s">
        <v>14</v>
      </c>
      <c r="I104" s="3" t="s">
        <v>93</v>
      </c>
      <c r="J104" s="3" t="s">
        <v>94</v>
      </c>
      <c r="K104" s="5">
        <v>83</v>
      </c>
      <c r="L104" s="5">
        <v>83</v>
      </c>
    </row>
    <row r="105" spans="1:12" ht="47.25" x14ac:dyDescent="0.25">
      <c r="A105" s="2" t="str">
        <f>HYPERLINK("http://prozorro.gov.ua/tender/UA-2022-05-23-000371-a/","UA-2022-05-23-000371-a")</f>
        <v>UA-2022-05-23-000371-a</v>
      </c>
      <c r="B105" s="3" t="s">
        <v>163</v>
      </c>
      <c r="C105" s="3" t="s">
        <v>18</v>
      </c>
      <c r="D105" s="4">
        <v>44704</v>
      </c>
      <c r="E105" s="4">
        <v>44706</v>
      </c>
      <c r="F105" s="3" t="s">
        <v>12</v>
      </c>
      <c r="G105" s="3" t="s">
        <v>13</v>
      </c>
      <c r="H105" s="3" t="s">
        <v>14</v>
      </c>
      <c r="I105" s="3" t="s">
        <v>93</v>
      </c>
      <c r="J105" s="3" t="s">
        <v>94</v>
      </c>
      <c r="K105" s="5">
        <v>150.5</v>
      </c>
      <c r="L105" s="5">
        <v>150.5</v>
      </c>
    </row>
    <row r="106" spans="1:12" ht="47.25" x14ac:dyDescent="0.25">
      <c r="A106" s="2" t="str">
        <f>HYPERLINK("http://prozorro.gov.ua/tender/UA-2022-05-23-000461-a/","UA-2022-05-23-000461-a")</f>
        <v>UA-2022-05-23-000461-a</v>
      </c>
      <c r="B106" s="3" t="s">
        <v>163</v>
      </c>
      <c r="C106" s="3" t="s">
        <v>18</v>
      </c>
      <c r="D106" s="4">
        <v>44704</v>
      </c>
      <c r="E106" s="4">
        <v>44706</v>
      </c>
      <c r="F106" s="3" t="s">
        <v>12</v>
      </c>
      <c r="G106" s="3" t="s">
        <v>13</v>
      </c>
      <c r="H106" s="3" t="s">
        <v>14</v>
      </c>
      <c r="I106" s="3" t="s">
        <v>93</v>
      </c>
      <c r="J106" s="3" t="s">
        <v>94</v>
      </c>
      <c r="K106" s="5">
        <v>491</v>
      </c>
      <c r="L106" s="5">
        <v>491</v>
      </c>
    </row>
    <row r="107" spans="1:12" ht="47.25" x14ac:dyDescent="0.25">
      <c r="A107" s="2" t="str">
        <f>HYPERLINK("http://prozorro.gov.ua/tender/UA-2022-05-23-000523-a/","UA-2022-05-23-000523-a")</f>
        <v>UA-2022-05-23-000523-a</v>
      </c>
      <c r="B107" s="3" t="s">
        <v>163</v>
      </c>
      <c r="C107" s="3" t="s">
        <v>18</v>
      </c>
      <c r="D107" s="4">
        <v>44704</v>
      </c>
      <c r="E107" s="4">
        <v>44706</v>
      </c>
      <c r="F107" s="3" t="s">
        <v>12</v>
      </c>
      <c r="G107" s="3" t="s">
        <v>13</v>
      </c>
      <c r="H107" s="3" t="s">
        <v>14</v>
      </c>
      <c r="I107" s="3" t="s">
        <v>93</v>
      </c>
      <c r="J107" s="3" t="s">
        <v>94</v>
      </c>
      <c r="K107" s="5">
        <v>211.6</v>
      </c>
      <c r="L107" s="5">
        <v>211.6</v>
      </c>
    </row>
    <row r="108" spans="1:12" ht="47.25" x14ac:dyDescent="0.25">
      <c r="A108" s="2" t="str">
        <f>HYPERLINK("http://prozorro.gov.ua/tender/UA-2022-05-23-001295-a/","UA-2022-05-23-001295-a")</f>
        <v>UA-2022-05-23-001295-a</v>
      </c>
      <c r="B108" s="3" t="s">
        <v>163</v>
      </c>
      <c r="C108" s="3" t="s">
        <v>18</v>
      </c>
      <c r="D108" s="4">
        <v>44704</v>
      </c>
      <c r="E108" s="4">
        <v>44926</v>
      </c>
      <c r="F108" s="3" t="s">
        <v>12</v>
      </c>
      <c r="G108" s="3" t="s">
        <v>13</v>
      </c>
      <c r="H108" s="3" t="s">
        <v>14</v>
      </c>
      <c r="I108" s="3" t="s">
        <v>93</v>
      </c>
      <c r="J108" s="3" t="s">
        <v>94</v>
      </c>
      <c r="K108" s="5">
        <v>17</v>
      </c>
      <c r="L108" s="5">
        <v>17</v>
      </c>
    </row>
    <row r="109" spans="1:12" ht="47.25" x14ac:dyDescent="0.25">
      <c r="A109" s="2" t="str">
        <f>HYPERLINK("http://prozorro.gov.ua/tender/UA-2022-05-23-001520-a/","UA-2022-05-23-001520-a")</f>
        <v>UA-2022-05-23-001520-a</v>
      </c>
      <c r="B109" s="3" t="s">
        <v>163</v>
      </c>
      <c r="C109" s="3" t="s">
        <v>18</v>
      </c>
      <c r="D109" s="4">
        <v>44704</v>
      </c>
      <c r="E109" s="4">
        <v>44706</v>
      </c>
      <c r="F109" s="3" t="s">
        <v>12</v>
      </c>
      <c r="G109" s="3" t="s">
        <v>13</v>
      </c>
      <c r="H109" s="3" t="s">
        <v>14</v>
      </c>
      <c r="I109" s="3" t="s">
        <v>93</v>
      </c>
      <c r="J109" s="3" t="s">
        <v>94</v>
      </c>
      <c r="K109" s="5">
        <v>190</v>
      </c>
      <c r="L109" s="5">
        <v>190</v>
      </c>
    </row>
    <row r="110" spans="1:12" ht="47.25" x14ac:dyDescent="0.25">
      <c r="A110" s="2" t="str">
        <f>HYPERLINK("http://prozorro.gov.ua/tender/UA-2022-05-23-001667-a/","UA-2022-05-23-001667-a")</f>
        <v>UA-2022-05-23-001667-a</v>
      </c>
      <c r="B110" s="3" t="s">
        <v>163</v>
      </c>
      <c r="C110" s="3" t="s">
        <v>18</v>
      </c>
      <c r="D110" s="4">
        <v>44704</v>
      </c>
      <c r="E110" s="4">
        <v>44706</v>
      </c>
      <c r="F110" s="3" t="s">
        <v>12</v>
      </c>
      <c r="G110" s="3" t="s">
        <v>13</v>
      </c>
      <c r="H110" s="3" t="s">
        <v>14</v>
      </c>
      <c r="I110" s="3" t="s">
        <v>93</v>
      </c>
      <c r="J110" s="3" t="s">
        <v>94</v>
      </c>
      <c r="K110" s="5">
        <v>70</v>
      </c>
      <c r="L110" s="5">
        <v>70</v>
      </c>
    </row>
    <row r="111" spans="1:12" ht="47.25" x14ac:dyDescent="0.25">
      <c r="A111" s="2" t="str">
        <f>HYPERLINK("http://prozorro.gov.ua/tender/UA-2022-05-23-001748-a/","UA-2022-05-23-001748-a")</f>
        <v>UA-2022-05-23-001748-a</v>
      </c>
      <c r="B111" s="3" t="s">
        <v>163</v>
      </c>
      <c r="C111" s="3" t="s">
        <v>18</v>
      </c>
      <c r="D111" s="4">
        <v>44704</v>
      </c>
      <c r="E111" s="4">
        <v>44706</v>
      </c>
      <c r="F111" s="3" t="s">
        <v>12</v>
      </c>
      <c r="G111" s="3" t="s">
        <v>13</v>
      </c>
      <c r="H111" s="3" t="s">
        <v>14</v>
      </c>
      <c r="I111" s="3" t="s">
        <v>93</v>
      </c>
      <c r="J111" s="3" t="s">
        <v>94</v>
      </c>
      <c r="K111" s="5">
        <v>48</v>
      </c>
      <c r="L111" s="5">
        <v>48</v>
      </c>
    </row>
    <row r="112" spans="1:12" ht="47.25" x14ac:dyDescent="0.25">
      <c r="A112" s="2" t="str">
        <f>HYPERLINK("http://prozorro.gov.ua/tender/UA-2022-05-23-001845-a/","UA-2022-05-23-001845-a")</f>
        <v>UA-2022-05-23-001845-a</v>
      </c>
      <c r="B112" s="3" t="s">
        <v>163</v>
      </c>
      <c r="C112" s="3" t="s">
        <v>18</v>
      </c>
      <c r="D112" s="4">
        <v>44704</v>
      </c>
      <c r="E112" s="4">
        <v>44706</v>
      </c>
      <c r="F112" s="3" t="s">
        <v>12</v>
      </c>
      <c r="G112" s="3" t="s">
        <v>13</v>
      </c>
      <c r="H112" s="3" t="s">
        <v>14</v>
      </c>
      <c r="I112" s="3" t="s">
        <v>93</v>
      </c>
      <c r="J112" s="3" t="s">
        <v>94</v>
      </c>
      <c r="K112" s="5">
        <v>317</v>
      </c>
      <c r="L112" s="5">
        <v>317</v>
      </c>
    </row>
    <row r="113" spans="1:12" ht="47.25" x14ac:dyDescent="0.25">
      <c r="A113" s="2" t="str">
        <f>HYPERLINK("http://prozorro.gov.ua/tender/UA-2022-05-25-003791-a/","UA-2022-05-25-003791-a")</f>
        <v>UA-2022-05-25-003791-a</v>
      </c>
      <c r="B113" s="3" t="s">
        <v>164</v>
      </c>
      <c r="C113" s="3" t="s">
        <v>18</v>
      </c>
      <c r="D113" s="4">
        <v>44706</v>
      </c>
      <c r="E113" s="4">
        <v>44796</v>
      </c>
      <c r="F113" s="3" t="s">
        <v>12</v>
      </c>
      <c r="G113" s="3" t="s">
        <v>13</v>
      </c>
      <c r="H113" s="3" t="s">
        <v>14</v>
      </c>
      <c r="I113" s="3" t="s">
        <v>165</v>
      </c>
      <c r="J113" s="3" t="s">
        <v>166</v>
      </c>
      <c r="K113" s="5">
        <v>27300</v>
      </c>
      <c r="L113" s="5">
        <v>27300</v>
      </c>
    </row>
    <row r="114" spans="1:12" ht="47.25" x14ac:dyDescent="0.25">
      <c r="A114" s="2" t="str">
        <f>HYPERLINK("http://prozorro.gov.ua/tender/UA-2022-05-26-000265-a/","UA-2022-05-26-000265-a")</f>
        <v>UA-2022-05-26-000265-a</v>
      </c>
      <c r="B114" s="3" t="s">
        <v>167</v>
      </c>
      <c r="C114" s="3" t="s">
        <v>18</v>
      </c>
      <c r="D114" s="4">
        <v>44707</v>
      </c>
      <c r="E114" s="4">
        <v>44926</v>
      </c>
      <c r="F114" s="3" t="s">
        <v>12</v>
      </c>
      <c r="G114" s="3" t="s">
        <v>13</v>
      </c>
      <c r="H114" s="3" t="s">
        <v>14</v>
      </c>
      <c r="I114" s="3" t="s">
        <v>168</v>
      </c>
      <c r="J114" s="3" t="s">
        <v>169</v>
      </c>
      <c r="K114" s="5">
        <v>3300</v>
      </c>
      <c r="L114" s="5">
        <v>3300</v>
      </c>
    </row>
    <row r="115" spans="1:12" ht="63" x14ac:dyDescent="0.25">
      <c r="A115" s="2" t="str">
        <f>HYPERLINK("http://prozorro.gov.ua/tender/UA-2022-05-27-000929-a/","UA-2022-05-27-000929-a")</f>
        <v>UA-2022-05-27-000929-a</v>
      </c>
      <c r="B115" s="3" t="s">
        <v>170</v>
      </c>
      <c r="C115" s="3" t="s">
        <v>18</v>
      </c>
      <c r="D115" s="4">
        <v>44708</v>
      </c>
      <c r="E115" s="4">
        <v>44926</v>
      </c>
      <c r="F115" s="3" t="s">
        <v>12</v>
      </c>
      <c r="G115" s="3" t="s">
        <v>13</v>
      </c>
      <c r="H115" s="3" t="s">
        <v>14</v>
      </c>
      <c r="I115" s="3" t="s">
        <v>171</v>
      </c>
      <c r="J115" s="3" t="s">
        <v>172</v>
      </c>
      <c r="K115" s="5">
        <v>11691.24</v>
      </c>
      <c r="L115" s="5">
        <v>11691.24</v>
      </c>
    </row>
    <row r="116" spans="1:12" ht="63" x14ac:dyDescent="0.25">
      <c r="A116" s="2" t="str">
        <f>HYPERLINK("http://prozorro.gov.ua/tender/UA-2022-05-27-001299-a/","UA-2022-05-27-001299-a")</f>
        <v>UA-2022-05-27-001299-a</v>
      </c>
      <c r="B116" s="3" t="s">
        <v>173</v>
      </c>
      <c r="C116" s="3" t="s">
        <v>18</v>
      </c>
      <c r="D116" s="4">
        <v>44708</v>
      </c>
      <c r="E116" s="4">
        <v>44926</v>
      </c>
      <c r="F116" s="3" t="s">
        <v>12</v>
      </c>
      <c r="G116" s="3" t="s">
        <v>13</v>
      </c>
      <c r="H116" s="3" t="s">
        <v>14</v>
      </c>
      <c r="I116" s="3" t="s">
        <v>171</v>
      </c>
      <c r="J116" s="3" t="s">
        <v>172</v>
      </c>
      <c r="K116" s="5">
        <v>1500</v>
      </c>
      <c r="L116" s="5">
        <v>1500</v>
      </c>
    </row>
    <row r="117" spans="1:12" ht="47.25" x14ac:dyDescent="0.25">
      <c r="A117" s="2" t="str">
        <f>HYPERLINK("http://prozorro.gov.ua/tender/UA-2022-05-27-002941-a/","UA-2022-05-27-002941-a")</f>
        <v>UA-2022-05-27-002941-a</v>
      </c>
      <c r="B117" s="3" t="s">
        <v>174</v>
      </c>
      <c r="C117" s="3" t="s">
        <v>18</v>
      </c>
      <c r="D117" s="4">
        <v>44708</v>
      </c>
      <c r="E117" s="4">
        <v>44926</v>
      </c>
      <c r="F117" s="3" t="s">
        <v>12</v>
      </c>
      <c r="G117" s="3" t="s">
        <v>13</v>
      </c>
      <c r="H117" s="3" t="s">
        <v>14</v>
      </c>
      <c r="I117" s="3" t="s">
        <v>90</v>
      </c>
      <c r="J117" s="3" t="s">
        <v>91</v>
      </c>
      <c r="K117" s="5">
        <v>13000</v>
      </c>
      <c r="L117" s="5">
        <v>13000</v>
      </c>
    </row>
    <row r="118" spans="1:12" ht="47.25" x14ac:dyDescent="0.25">
      <c r="A118" s="2" t="str">
        <f>HYPERLINK("http://prozorro.gov.ua/tender/UA-2022-05-30-000615-a/","UA-2022-05-30-000615-a")</f>
        <v>UA-2022-05-30-000615-a</v>
      </c>
      <c r="B118" s="3" t="s">
        <v>175</v>
      </c>
      <c r="C118" s="3" t="s">
        <v>18</v>
      </c>
      <c r="D118" s="4">
        <v>44711</v>
      </c>
      <c r="E118" s="4">
        <v>44926</v>
      </c>
      <c r="F118" s="3" t="s">
        <v>12</v>
      </c>
      <c r="G118" s="3" t="s">
        <v>13</v>
      </c>
      <c r="H118" s="3" t="s">
        <v>14</v>
      </c>
      <c r="I118" s="3" t="s">
        <v>176</v>
      </c>
      <c r="J118" s="3" t="s">
        <v>177</v>
      </c>
      <c r="K118" s="5">
        <v>1080</v>
      </c>
      <c r="L118" s="5">
        <v>1080</v>
      </c>
    </row>
    <row r="119" spans="1:12" ht="47.25" x14ac:dyDescent="0.25">
      <c r="A119" s="2" t="str">
        <f>HYPERLINK("http://prozorro.gov.ua/tender/UA-2022-05-30-002680-a/","UA-2022-05-30-002680-a")</f>
        <v>UA-2022-05-30-002680-a</v>
      </c>
      <c r="B119" s="3" t="s">
        <v>178</v>
      </c>
      <c r="C119" s="3" t="s">
        <v>18</v>
      </c>
      <c r="D119" s="4">
        <v>44711</v>
      </c>
      <c r="E119" s="4">
        <v>44797</v>
      </c>
      <c r="F119" s="3" t="s">
        <v>12</v>
      </c>
      <c r="G119" s="3" t="s">
        <v>13</v>
      </c>
      <c r="H119" s="3" t="s">
        <v>14</v>
      </c>
      <c r="I119" s="3" t="s">
        <v>84</v>
      </c>
      <c r="J119" s="3" t="s">
        <v>85</v>
      </c>
      <c r="K119" s="5">
        <v>1800</v>
      </c>
      <c r="L119" s="5">
        <v>1800</v>
      </c>
    </row>
    <row r="120" spans="1:12" ht="47.25" x14ac:dyDescent="0.25">
      <c r="A120" s="2" t="str">
        <f>HYPERLINK("http://prozorro.gov.ua/tender/UA-2022-05-31-001135-a/","UA-2022-05-31-001135-a")</f>
        <v>UA-2022-05-31-001135-a</v>
      </c>
      <c r="B120" s="3" t="s">
        <v>179</v>
      </c>
      <c r="C120" s="3" t="s">
        <v>18</v>
      </c>
      <c r="D120" s="4">
        <v>44712</v>
      </c>
      <c r="E120" s="4">
        <v>44926</v>
      </c>
      <c r="F120" s="3" t="s">
        <v>12</v>
      </c>
      <c r="G120" s="3" t="s">
        <v>13</v>
      </c>
      <c r="H120" s="3" t="s">
        <v>14</v>
      </c>
      <c r="I120" s="3" t="s">
        <v>180</v>
      </c>
      <c r="J120" s="3" t="s">
        <v>181</v>
      </c>
      <c r="K120" s="5">
        <v>37250</v>
      </c>
      <c r="L120" s="5">
        <v>37250</v>
      </c>
    </row>
    <row r="121" spans="1:12" ht="47.25" x14ac:dyDescent="0.25">
      <c r="A121" s="2" t="str">
        <f>HYPERLINK("http://prozorro.gov.ua/tender/UA-2022-06-03-000646-a/","UA-2022-06-03-000646-a")</f>
        <v>UA-2022-06-03-000646-a</v>
      </c>
      <c r="B121" s="3" t="s">
        <v>182</v>
      </c>
      <c r="C121" s="3" t="s">
        <v>18</v>
      </c>
      <c r="D121" s="4">
        <v>44715</v>
      </c>
      <c r="E121" s="4">
        <v>45079</v>
      </c>
      <c r="F121" s="3" t="s">
        <v>12</v>
      </c>
      <c r="G121" s="3" t="s">
        <v>13</v>
      </c>
      <c r="H121" s="3" t="s">
        <v>14</v>
      </c>
      <c r="I121" s="3" t="s">
        <v>183</v>
      </c>
      <c r="J121" s="3" t="s">
        <v>184</v>
      </c>
      <c r="K121" s="5">
        <v>2268</v>
      </c>
      <c r="L121" s="5">
        <v>2268</v>
      </c>
    </row>
    <row r="122" spans="1:12" ht="47.25" x14ac:dyDescent="0.25">
      <c r="A122" s="2" t="str">
        <f>HYPERLINK("http://prozorro.gov.ua/tender/UA-2022-06-09-003398-a/","UA-2022-06-09-003398-a")</f>
        <v>UA-2022-06-09-003398-a</v>
      </c>
      <c r="B122" s="3" t="s">
        <v>185</v>
      </c>
      <c r="C122" s="3" t="s">
        <v>18</v>
      </c>
      <c r="D122" s="4">
        <v>44721</v>
      </c>
      <c r="E122" s="4">
        <v>44926</v>
      </c>
      <c r="F122" s="3" t="s">
        <v>12</v>
      </c>
      <c r="G122" s="3" t="s">
        <v>13</v>
      </c>
      <c r="H122" s="3" t="s">
        <v>14</v>
      </c>
      <c r="I122" s="3" t="s">
        <v>152</v>
      </c>
      <c r="J122" s="3" t="s">
        <v>153</v>
      </c>
      <c r="K122" s="5">
        <v>11150</v>
      </c>
      <c r="L122" s="5">
        <v>11150</v>
      </c>
    </row>
    <row r="123" spans="1:12" ht="47.25" x14ac:dyDescent="0.25">
      <c r="A123" s="2" t="str">
        <f>HYPERLINK("http://prozorro.gov.ua/tender/UA-2022-06-09-003540-a/","UA-2022-06-09-003540-a")</f>
        <v>UA-2022-06-09-003540-a</v>
      </c>
      <c r="B123" s="3" t="s">
        <v>185</v>
      </c>
      <c r="C123" s="3" t="s">
        <v>18</v>
      </c>
      <c r="D123" s="4">
        <v>44721</v>
      </c>
      <c r="E123" s="4">
        <v>44926</v>
      </c>
      <c r="F123" s="3" t="s">
        <v>12</v>
      </c>
      <c r="G123" s="3" t="s">
        <v>13</v>
      </c>
      <c r="H123" s="3" t="s">
        <v>14</v>
      </c>
      <c r="I123" s="3" t="s">
        <v>152</v>
      </c>
      <c r="J123" s="3" t="s">
        <v>153</v>
      </c>
      <c r="K123" s="5">
        <v>8950</v>
      </c>
      <c r="L123" s="5">
        <v>8950</v>
      </c>
    </row>
    <row r="124" spans="1:12" ht="47.25" x14ac:dyDescent="0.25">
      <c r="A124" s="2" t="str">
        <f>HYPERLINK("http://prozorro.gov.ua/tender/UA-2022-06-13-000476-a/","UA-2022-06-13-000476-a")</f>
        <v>UA-2022-06-13-000476-a</v>
      </c>
      <c r="B124" s="3" t="s">
        <v>186</v>
      </c>
      <c r="C124" s="3" t="s">
        <v>18</v>
      </c>
      <c r="D124" s="4">
        <v>44725</v>
      </c>
      <c r="E124" s="4">
        <v>44926</v>
      </c>
      <c r="F124" s="3" t="s">
        <v>12</v>
      </c>
      <c r="G124" s="3" t="s">
        <v>13</v>
      </c>
      <c r="H124" s="3" t="s">
        <v>14</v>
      </c>
      <c r="I124" s="3" t="s">
        <v>187</v>
      </c>
      <c r="J124" s="3" t="s">
        <v>188</v>
      </c>
      <c r="K124" s="5">
        <v>15000.8</v>
      </c>
      <c r="L124" s="5">
        <v>15000.8</v>
      </c>
    </row>
    <row r="125" spans="1:12" ht="47.25" x14ac:dyDescent="0.25">
      <c r="A125" s="2" t="str">
        <f>HYPERLINK("http://prozorro.gov.ua/tender/UA-2022-06-27-002261-a/","UA-2022-06-27-002261-a")</f>
        <v>UA-2022-06-27-002261-a</v>
      </c>
      <c r="B125" s="3" t="s">
        <v>189</v>
      </c>
      <c r="C125" s="3" t="s">
        <v>18</v>
      </c>
      <c r="D125" s="4">
        <v>44739</v>
      </c>
      <c r="E125" s="4">
        <v>44926</v>
      </c>
      <c r="F125" s="3" t="s">
        <v>12</v>
      </c>
      <c r="G125" s="3" t="s">
        <v>13</v>
      </c>
      <c r="H125" s="3" t="s">
        <v>14</v>
      </c>
      <c r="I125" s="3" t="s">
        <v>84</v>
      </c>
      <c r="J125" s="3" t="s">
        <v>85</v>
      </c>
      <c r="K125" s="5">
        <v>3162.5</v>
      </c>
      <c r="L125" s="5">
        <v>3162.5</v>
      </c>
    </row>
    <row r="126" spans="1:12" ht="47.25" x14ac:dyDescent="0.25">
      <c r="A126" s="2" t="str">
        <f>HYPERLINK("http://prozorro.gov.ua/tender/UA-2022-06-27-002390-a/","UA-2022-06-27-002390-a")</f>
        <v>UA-2022-06-27-002390-a</v>
      </c>
      <c r="B126" s="3" t="s">
        <v>190</v>
      </c>
      <c r="C126" s="3" t="s">
        <v>18</v>
      </c>
      <c r="D126" s="4">
        <v>44739</v>
      </c>
      <c r="E126" s="4">
        <v>44926</v>
      </c>
      <c r="F126" s="3" t="s">
        <v>12</v>
      </c>
      <c r="G126" s="3" t="s">
        <v>13</v>
      </c>
      <c r="H126" s="3" t="s">
        <v>14</v>
      </c>
      <c r="I126" s="3" t="s">
        <v>84</v>
      </c>
      <c r="J126" s="3" t="s">
        <v>85</v>
      </c>
      <c r="K126" s="5">
        <v>660</v>
      </c>
      <c r="L126" s="5">
        <v>660</v>
      </c>
    </row>
    <row r="127" spans="1:12" ht="47.25" x14ac:dyDescent="0.25">
      <c r="A127" s="2" t="str">
        <f>HYPERLINK("http://prozorro.gov.ua/tender/UA-2022-06-27-004392-a/","UA-2022-06-27-004392-a")</f>
        <v>UA-2022-06-27-004392-a</v>
      </c>
      <c r="B127" s="3" t="s">
        <v>191</v>
      </c>
      <c r="C127" s="3" t="s">
        <v>18</v>
      </c>
      <c r="D127" s="4">
        <v>44739</v>
      </c>
      <c r="E127" s="4">
        <v>44926</v>
      </c>
      <c r="F127" s="3" t="s">
        <v>12</v>
      </c>
      <c r="G127" s="3" t="s">
        <v>13</v>
      </c>
      <c r="H127" s="3" t="s">
        <v>14</v>
      </c>
      <c r="I127" s="3" t="s">
        <v>93</v>
      </c>
      <c r="J127" s="3" t="s">
        <v>94</v>
      </c>
      <c r="K127" s="5">
        <v>685</v>
      </c>
      <c r="L127" s="5">
        <v>685</v>
      </c>
    </row>
    <row r="128" spans="1:12" ht="47.25" x14ac:dyDescent="0.25">
      <c r="A128" s="2" t="str">
        <f>HYPERLINK("http://prozorro.gov.ua/tender/UA-2022-06-27-004517-a/","UA-2022-06-27-004517-a")</f>
        <v>UA-2022-06-27-004517-a</v>
      </c>
      <c r="B128" s="3" t="s">
        <v>191</v>
      </c>
      <c r="C128" s="3" t="s">
        <v>18</v>
      </c>
      <c r="D128" s="4">
        <v>44739</v>
      </c>
      <c r="E128" s="4">
        <v>44926</v>
      </c>
      <c r="F128" s="3" t="s">
        <v>12</v>
      </c>
      <c r="G128" s="3" t="s">
        <v>13</v>
      </c>
      <c r="H128" s="3" t="s">
        <v>14</v>
      </c>
      <c r="I128" s="3" t="s">
        <v>93</v>
      </c>
      <c r="J128" s="3" t="s">
        <v>94</v>
      </c>
      <c r="K128" s="5">
        <v>850</v>
      </c>
      <c r="L128" s="5">
        <v>850</v>
      </c>
    </row>
    <row r="129" spans="1:12" ht="47.25" x14ac:dyDescent="0.25">
      <c r="A129" s="2" t="str">
        <f>HYPERLINK("http://prozorro.gov.ua/tender/UA-2022-06-27-004684-a/","UA-2022-06-27-004684-a")</f>
        <v>UA-2022-06-27-004684-a</v>
      </c>
      <c r="B129" s="3" t="s">
        <v>191</v>
      </c>
      <c r="C129" s="3" t="s">
        <v>18</v>
      </c>
      <c r="D129" s="4">
        <v>44739</v>
      </c>
      <c r="E129" s="4">
        <v>44926</v>
      </c>
      <c r="F129" s="3" t="s">
        <v>12</v>
      </c>
      <c r="G129" s="3" t="s">
        <v>13</v>
      </c>
      <c r="H129" s="3" t="s">
        <v>14</v>
      </c>
      <c r="I129" s="3" t="s">
        <v>93</v>
      </c>
      <c r="J129" s="3" t="s">
        <v>94</v>
      </c>
      <c r="K129" s="5">
        <v>70</v>
      </c>
      <c r="L129" s="5">
        <v>70</v>
      </c>
    </row>
    <row r="130" spans="1:12" ht="47.25" x14ac:dyDescent="0.25">
      <c r="A130" s="2" t="str">
        <f>HYPERLINK("http://prozorro.gov.ua/tender/UA-2022-06-28-000867-a/","UA-2022-06-28-000867-a")</f>
        <v>UA-2022-06-28-000867-a</v>
      </c>
      <c r="B130" s="3" t="s">
        <v>192</v>
      </c>
      <c r="C130" s="3" t="s">
        <v>18</v>
      </c>
      <c r="D130" s="4">
        <v>44740</v>
      </c>
      <c r="E130" s="4">
        <v>44926</v>
      </c>
      <c r="F130" s="3" t="s">
        <v>12</v>
      </c>
      <c r="G130" s="3" t="s">
        <v>13</v>
      </c>
      <c r="H130" s="3" t="s">
        <v>14</v>
      </c>
      <c r="I130" s="3" t="s">
        <v>96</v>
      </c>
      <c r="J130" s="3" t="s">
        <v>97</v>
      </c>
      <c r="K130" s="5">
        <v>1472</v>
      </c>
      <c r="L130" s="5">
        <v>1472</v>
      </c>
    </row>
    <row r="131" spans="1:12" ht="47.25" x14ac:dyDescent="0.25">
      <c r="A131" s="2" t="str">
        <f>HYPERLINK("http://prozorro.gov.ua/tender/UA-2022-06-28-001165-a/","UA-2022-06-28-001165-a")</f>
        <v>UA-2022-06-28-001165-a</v>
      </c>
      <c r="B131" s="3" t="s">
        <v>192</v>
      </c>
      <c r="C131" s="3" t="s">
        <v>18</v>
      </c>
      <c r="D131" s="4">
        <v>44740</v>
      </c>
      <c r="E131" s="4">
        <v>44926</v>
      </c>
      <c r="F131" s="3" t="s">
        <v>12</v>
      </c>
      <c r="G131" s="3" t="s">
        <v>13</v>
      </c>
      <c r="H131" s="3" t="s">
        <v>14</v>
      </c>
      <c r="I131" s="3" t="s">
        <v>193</v>
      </c>
      <c r="J131" s="3" t="s">
        <v>194</v>
      </c>
      <c r="K131" s="5">
        <v>2782.26</v>
      </c>
      <c r="L131" s="5">
        <v>2782.26</v>
      </c>
    </row>
    <row r="132" spans="1:12" ht="47.25" x14ac:dyDescent="0.25">
      <c r="A132" s="2" t="str">
        <f>HYPERLINK("http://prozorro.gov.ua/tender/UA-2022-06-28-001286-a/","UA-2022-06-28-001286-a")</f>
        <v>UA-2022-06-28-001286-a</v>
      </c>
      <c r="B132" s="3" t="s">
        <v>192</v>
      </c>
      <c r="C132" s="3" t="s">
        <v>18</v>
      </c>
      <c r="D132" s="4">
        <v>44740</v>
      </c>
      <c r="E132" s="4">
        <v>44926</v>
      </c>
      <c r="F132" s="3" t="s">
        <v>12</v>
      </c>
      <c r="G132" s="3" t="s">
        <v>13</v>
      </c>
      <c r="H132" s="3" t="s">
        <v>14</v>
      </c>
      <c r="I132" s="3" t="s">
        <v>96</v>
      </c>
      <c r="J132" s="3" t="s">
        <v>97</v>
      </c>
      <c r="K132" s="5">
        <v>300</v>
      </c>
      <c r="L132" s="5">
        <v>300</v>
      </c>
    </row>
    <row r="133" spans="1:12" ht="47.25" x14ac:dyDescent="0.25">
      <c r="A133" s="2" t="str">
        <f>HYPERLINK("http://prozorro.gov.ua/tender/UA-2022-06-28-002178-a/","UA-2022-06-28-002178-a")</f>
        <v>UA-2022-06-28-002178-a</v>
      </c>
      <c r="B133" s="3" t="s">
        <v>192</v>
      </c>
      <c r="C133" s="3" t="s">
        <v>18</v>
      </c>
      <c r="D133" s="4">
        <v>44740</v>
      </c>
      <c r="E133" s="4">
        <v>44926</v>
      </c>
      <c r="F133" s="3" t="s">
        <v>12</v>
      </c>
      <c r="G133" s="3" t="s">
        <v>13</v>
      </c>
      <c r="H133" s="3" t="s">
        <v>14</v>
      </c>
      <c r="I133" s="3" t="s">
        <v>96</v>
      </c>
      <c r="J133" s="3" t="s">
        <v>97</v>
      </c>
      <c r="K133" s="5">
        <v>2215</v>
      </c>
      <c r="L133" s="5">
        <v>2215</v>
      </c>
    </row>
    <row r="134" spans="1:12" ht="47.25" x14ac:dyDescent="0.25">
      <c r="A134" s="2" t="str">
        <f>HYPERLINK("http://prozorro.gov.ua/tender/UA-2022-06-28-002338-a/","UA-2022-06-28-002338-a")</f>
        <v>UA-2022-06-28-002338-a</v>
      </c>
      <c r="B134" s="3" t="s">
        <v>192</v>
      </c>
      <c r="C134" s="3" t="s">
        <v>18</v>
      </c>
      <c r="D134" s="4">
        <v>44740</v>
      </c>
      <c r="E134" s="4">
        <v>44926</v>
      </c>
      <c r="F134" s="3" t="s">
        <v>12</v>
      </c>
      <c r="G134" s="3" t="s">
        <v>13</v>
      </c>
      <c r="H134" s="3" t="s">
        <v>14</v>
      </c>
      <c r="I134" s="3" t="s">
        <v>96</v>
      </c>
      <c r="J134" s="3" t="s">
        <v>97</v>
      </c>
      <c r="K134" s="5">
        <v>270</v>
      </c>
      <c r="L134" s="5">
        <v>270</v>
      </c>
    </row>
    <row r="135" spans="1:12" ht="47.25" x14ac:dyDescent="0.25">
      <c r="A135" s="2" t="str">
        <f>HYPERLINK("http://prozorro.gov.ua/tender/UA-2022-06-28-003434-a/","UA-2022-06-28-003434-a")</f>
        <v>UA-2022-06-28-003434-a</v>
      </c>
      <c r="B135" s="3" t="s">
        <v>192</v>
      </c>
      <c r="C135" s="3" t="s">
        <v>18</v>
      </c>
      <c r="D135" s="4">
        <v>44740</v>
      </c>
      <c r="E135" s="4">
        <v>44926</v>
      </c>
      <c r="F135" s="3" t="s">
        <v>12</v>
      </c>
      <c r="G135" s="3" t="s">
        <v>13</v>
      </c>
      <c r="H135" s="3" t="s">
        <v>14</v>
      </c>
      <c r="I135" s="3" t="s">
        <v>96</v>
      </c>
      <c r="J135" s="3" t="s">
        <v>97</v>
      </c>
      <c r="K135" s="5">
        <v>30</v>
      </c>
      <c r="L135" s="5">
        <v>30</v>
      </c>
    </row>
    <row r="136" spans="1:12" ht="47.25" x14ac:dyDescent="0.25">
      <c r="A136" s="2" t="str">
        <f>HYPERLINK("http://prozorro.gov.ua/tender/UA-2022-06-28-003837-a/","UA-2022-06-28-003837-a")</f>
        <v>UA-2022-06-28-003837-a</v>
      </c>
      <c r="B136" s="3" t="s">
        <v>192</v>
      </c>
      <c r="C136" s="3" t="s">
        <v>18</v>
      </c>
      <c r="D136" s="4">
        <v>44740</v>
      </c>
      <c r="E136" s="4">
        <v>44926</v>
      </c>
      <c r="F136" s="3" t="s">
        <v>12</v>
      </c>
      <c r="G136" s="3" t="s">
        <v>13</v>
      </c>
      <c r="H136" s="3" t="s">
        <v>14</v>
      </c>
      <c r="I136" s="3" t="s">
        <v>96</v>
      </c>
      <c r="J136" s="3" t="s">
        <v>97</v>
      </c>
      <c r="K136" s="5">
        <v>1700</v>
      </c>
      <c r="L136" s="5">
        <v>1700</v>
      </c>
    </row>
    <row r="137" spans="1:12" ht="47.25" x14ac:dyDescent="0.25">
      <c r="A137" s="2" t="str">
        <f>HYPERLINK("http://prozorro.gov.ua/tender/UA-2022-06-28-004003-a/","UA-2022-06-28-004003-a")</f>
        <v>UA-2022-06-28-004003-a</v>
      </c>
      <c r="B137" s="3" t="s">
        <v>192</v>
      </c>
      <c r="C137" s="3" t="s">
        <v>18</v>
      </c>
      <c r="D137" s="4">
        <v>44740</v>
      </c>
      <c r="E137" s="4">
        <v>44926</v>
      </c>
      <c r="F137" s="3" t="s">
        <v>12</v>
      </c>
      <c r="G137" s="3" t="s">
        <v>13</v>
      </c>
      <c r="H137" s="3" t="s">
        <v>14</v>
      </c>
      <c r="I137" s="3" t="s">
        <v>96</v>
      </c>
      <c r="J137" s="3" t="s">
        <v>97</v>
      </c>
      <c r="K137" s="5">
        <v>610</v>
      </c>
      <c r="L137" s="5">
        <v>610</v>
      </c>
    </row>
    <row r="138" spans="1:12" ht="47.25" x14ac:dyDescent="0.25">
      <c r="A138" s="2" t="str">
        <f>HYPERLINK("http://prozorro.gov.ua/tender/UA-2022-06-28-004086-a/","UA-2022-06-28-004086-a")</f>
        <v>UA-2022-06-28-004086-a</v>
      </c>
      <c r="B138" s="3" t="s">
        <v>192</v>
      </c>
      <c r="C138" s="3" t="s">
        <v>18</v>
      </c>
      <c r="D138" s="4">
        <v>44740</v>
      </c>
      <c r="E138" s="4">
        <v>44926</v>
      </c>
      <c r="F138" s="3" t="s">
        <v>12</v>
      </c>
      <c r="G138" s="3" t="s">
        <v>13</v>
      </c>
      <c r="H138" s="3" t="s">
        <v>14</v>
      </c>
      <c r="I138" s="3" t="s">
        <v>96</v>
      </c>
      <c r="J138" s="3" t="s">
        <v>97</v>
      </c>
      <c r="K138" s="5">
        <v>120</v>
      </c>
      <c r="L138" s="5">
        <v>120</v>
      </c>
    </row>
    <row r="139" spans="1:12" ht="47.25" x14ac:dyDescent="0.25">
      <c r="A139" s="2" t="str">
        <f>HYPERLINK("http://prozorro.gov.ua/tender/UA-2022-06-28-004237-a/","UA-2022-06-28-004237-a")</f>
        <v>UA-2022-06-28-004237-a</v>
      </c>
      <c r="B139" s="3" t="s">
        <v>195</v>
      </c>
      <c r="C139" s="3" t="s">
        <v>18</v>
      </c>
      <c r="D139" s="4">
        <v>44740</v>
      </c>
      <c r="E139" s="4">
        <v>44926</v>
      </c>
      <c r="F139" s="3" t="s">
        <v>12</v>
      </c>
      <c r="G139" s="3" t="s">
        <v>13</v>
      </c>
      <c r="H139" s="3" t="s">
        <v>14</v>
      </c>
      <c r="I139" s="3" t="s">
        <v>40</v>
      </c>
      <c r="J139" s="3" t="s">
        <v>41</v>
      </c>
      <c r="K139" s="5">
        <v>2345.0700000000002</v>
      </c>
      <c r="L139" s="5">
        <v>2345.0700000000002</v>
      </c>
    </row>
    <row r="140" spans="1:12" ht="47.25" x14ac:dyDescent="0.25">
      <c r="A140" s="2" t="str">
        <f>HYPERLINK("http://prozorro.gov.ua/tender/UA-2022-06-29-000289-a/","UA-2022-06-29-000289-a")</f>
        <v>UA-2022-06-29-000289-a</v>
      </c>
      <c r="B140" s="3" t="s">
        <v>196</v>
      </c>
      <c r="C140" s="3" t="s">
        <v>18</v>
      </c>
      <c r="D140" s="4">
        <v>44741</v>
      </c>
      <c r="E140" s="4">
        <v>44926</v>
      </c>
      <c r="F140" s="3" t="s">
        <v>12</v>
      </c>
      <c r="G140" s="3" t="s">
        <v>13</v>
      </c>
      <c r="H140" s="3" t="s">
        <v>14</v>
      </c>
      <c r="I140" s="3" t="s">
        <v>197</v>
      </c>
      <c r="J140" s="3" t="s">
        <v>198</v>
      </c>
      <c r="K140" s="5">
        <v>15600</v>
      </c>
      <c r="L140" s="5">
        <v>15600</v>
      </c>
    </row>
    <row r="141" spans="1:12" ht="47.25" x14ac:dyDescent="0.25">
      <c r="A141" s="2" t="str">
        <f>HYPERLINK("http://prozorro.gov.ua/tender/UA-2022-07-01-002670-a/","UA-2022-07-01-002670-a")</f>
        <v>UA-2022-07-01-002670-a</v>
      </c>
      <c r="B141" s="3" t="s">
        <v>199</v>
      </c>
      <c r="C141" s="3" t="s">
        <v>18</v>
      </c>
      <c r="D141" s="4">
        <v>44743</v>
      </c>
      <c r="E141" s="4">
        <v>44926</v>
      </c>
      <c r="F141" s="3" t="s">
        <v>12</v>
      </c>
      <c r="G141" s="3" t="s">
        <v>13</v>
      </c>
      <c r="H141" s="3" t="s">
        <v>14</v>
      </c>
      <c r="I141" s="3" t="s">
        <v>93</v>
      </c>
      <c r="J141" s="3" t="s">
        <v>94</v>
      </c>
      <c r="K141" s="5">
        <v>3450</v>
      </c>
      <c r="L141" s="5">
        <v>3450</v>
      </c>
    </row>
    <row r="142" spans="1:12" ht="47.25" x14ac:dyDescent="0.25">
      <c r="A142" s="2" t="str">
        <f>HYPERLINK("http://prozorro.gov.ua/tender/UA-2022-07-04-000785-a/","UA-2022-07-04-000785-a")</f>
        <v>UA-2022-07-04-000785-a</v>
      </c>
      <c r="B142" s="3" t="s">
        <v>200</v>
      </c>
      <c r="C142" s="3" t="s">
        <v>18</v>
      </c>
      <c r="D142" s="4">
        <v>44746</v>
      </c>
      <c r="E142" s="4">
        <v>44926</v>
      </c>
      <c r="F142" s="3" t="s">
        <v>12</v>
      </c>
      <c r="G142" s="3" t="s">
        <v>13</v>
      </c>
      <c r="H142" s="3" t="s">
        <v>14</v>
      </c>
      <c r="I142" s="3" t="s">
        <v>201</v>
      </c>
      <c r="J142" s="3" t="s">
        <v>202</v>
      </c>
      <c r="K142" s="5">
        <v>13377.58</v>
      </c>
      <c r="L142" s="5">
        <v>13377.58</v>
      </c>
    </row>
    <row r="143" spans="1:12" ht="47.25" x14ac:dyDescent="0.25">
      <c r="A143" s="2" t="str">
        <f>HYPERLINK("http://prozorro.gov.ua/tender/UA-2022-07-05-000377-a/","UA-2022-07-05-000377-a")</f>
        <v>UA-2022-07-05-000377-a</v>
      </c>
      <c r="B143" s="3" t="s">
        <v>200</v>
      </c>
      <c r="C143" s="3" t="s">
        <v>18</v>
      </c>
      <c r="D143" s="4">
        <v>44747</v>
      </c>
      <c r="E143" s="4">
        <v>44926</v>
      </c>
      <c r="F143" s="3" t="s">
        <v>12</v>
      </c>
      <c r="G143" s="3" t="s">
        <v>13</v>
      </c>
      <c r="H143" s="3" t="s">
        <v>14</v>
      </c>
      <c r="I143" s="3" t="s">
        <v>201</v>
      </c>
      <c r="J143" s="3" t="s">
        <v>202</v>
      </c>
      <c r="K143" s="5">
        <v>2555.12</v>
      </c>
      <c r="L143" s="5">
        <v>2555.12</v>
      </c>
    </row>
    <row r="144" spans="1:12" ht="47.25" x14ac:dyDescent="0.25">
      <c r="A144" s="2" t="str">
        <f>HYPERLINK("http://prozorro.gov.ua/tender/UA-2022-07-05-000651-a/","UA-2022-07-05-000651-a")</f>
        <v>UA-2022-07-05-000651-a</v>
      </c>
      <c r="B144" s="3" t="s">
        <v>203</v>
      </c>
      <c r="C144" s="3" t="s">
        <v>18</v>
      </c>
      <c r="D144" s="4">
        <v>44747</v>
      </c>
      <c r="E144" s="4">
        <v>44926</v>
      </c>
      <c r="F144" s="3" t="s">
        <v>12</v>
      </c>
      <c r="G144" s="3" t="s">
        <v>13</v>
      </c>
      <c r="H144" s="3" t="s">
        <v>14</v>
      </c>
      <c r="I144" s="3" t="s">
        <v>204</v>
      </c>
      <c r="J144" s="3" t="s">
        <v>205</v>
      </c>
      <c r="K144" s="5">
        <v>10254</v>
      </c>
      <c r="L144" s="5">
        <v>10254</v>
      </c>
    </row>
    <row r="145" spans="1:12" ht="47.25" x14ac:dyDescent="0.25">
      <c r="A145" s="2" t="str">
        <f>HYPERLINK("http://prozorro.gov.ua/tender/UA-2022-07-05-001036-a/","UA-2022-07-05-001036-a")</f>
        <v>UA-2022-07-05-001036-a</v>
      </c>
      <c r="B145" s="3" t="s">
        <v>206</v>
      </c>
      <c r="C145" s="3" t="s">
        <v>18</v>
      </c>
      <c r="D145" s="4">
        <v>44747</v>
      </c>
      <c r="E145" s="4">
        <v>44926</v>
      </c>
      <c r="F145" s="3" t="s">
        <v>12</v>
      </c>
      <c r="G145" s="3" t="s">
        <v>13</v>
      </c>
      <c r="H145" s="3" t="s">
        <v>14</v>
      </c>
      <c r="I145" s="3" t="s">
        <v>204</v>
      </c>
      <c r="J145" s="3" t="s">
        <v>205</v>
      </c>
      <c r="K145" s="5">
        <v>1402.56</v>
      </c>
      <c r="L145" s="5">
        <v>1402.56</v>
      </c>
    </row>
    <row r="146" spans="1:12" ht="47.25" x14ac:dyDescent="0.25">
      <c r="A146" s="2" t="str">
        <f>HYPERLINK("http://prozorro.gov.ua/tender/UA-2022-07-18-000581-a/","UA-2022-07-18-000581-a")</f>
        <v>UA-2022-07-18-000581-a</v>
      </c>
      <c r="B146" s="3" t="s">
        <v>207</v>
      </c>
      <c r="C146" s="3" t="s">
        <v>18</v>
      </c>
      <c r="D146" s="4">
        <v>44760</v>
      </c>
      <c r="E146" s="4">
        <v>44926</v>
      </c>
      <c r="F146" s="3" t="s">
        <v>12</v>
      </c>
      <c r="G146" s="3" t="s">
        <v>13</v>
      </c>
      <c r="H146" s="3" t="s">
        <v>14</v>
      </c>
      <c r="I146" s="3" t="s">
        <v>84</v>
      </c>
      <c r="J146" s="3" t="s">
        <v>85</v>
      </c>
      <c r="K146" s="5">
        <v>14679.75</v>
      </c>
      <c r="L146" s="5">
        <v>14679.75</v>
      </c>
    </row>
    <row r="147" spans="1:12" ht="47.25" x14ac:dyDescent="0.25">
      <c r="A147" s="2" t="str">
        <f>HYPERLINK("http://prozorro.gov.ua/tender/UA-2022-07-18-000763-a/","UA-2022-07-18-000763-a")</f>
        <v>UA-2022-07-18-000763-a</v>
      </c>
      <c r="B147" s="3" t="s">
        <v>208</v>
      </c>
      <c r="C147" s="3" t="s">
        <v>18</v>
      </c>
      <c r="D147" s="4">
        <v>44760</v>
      </c>
      <c r="E147" s="4">
        <v>44926</v>
      </c>
      <c r="F147" s="3" t="s">
        <v>12</v>
      </c>
      <c r="G147" s="3" t="s">
        <v>13</v>
      </c>
      <c r="H147" s="3" t="s">
        <v>14</v>
      </c>
      <c r="I147" s="3" t="s">
        <v>84</v>
      </c>
      <c r="J147" s="3" t="s">
        <v>85</v>
      </c>
      <c r="K147" s="5">
        <v>5112.5</v>
      </c>
      <c r="L147" s="5">
        <v>5112.5</v>
      </c>
    </row>
    <row r="148" spans="1:12" ht="47.25" x14ac:dyDescent="0.25">
      <c r="A148" s="2" t="str">
        <f>HYPERLINK("http://prozorro.gov.ua/tender/UA-2022-07-18-000855-a/","UA-2022-07-18-000855-a")</f>
        <v>UA-2022-07-18-000855-a</v>
      </c>
      <c r="B148" s="3" t="s">
        <v>209</v>
      </c>
      <c r="C148" s="3" t="s">
        <v>18</v>
      </c>
      <c r="D148" s="4">
        <v>44760</v>
      </c>
      <c r="E148" s="4">
        <v>44926</v>
      </c>
      <c r="F148" s="3" t="s">
        <v>12</v>
      </c>
      <c r="G148" s="3" t="s">
        <v>13</v>
      </c>
      <c r="H148" s="3" t="s">
        <v>14</v>
      </c>
      <c r="I148" s="3" t="s">
        <v>84</v>
      </c>
      <c r="J148" s="3" t="s">
        <v>85</v>
      </c>
      <c r="K148" s="5">
        <v>660</v>
      </c>
      <c r="L148" s="5">
        <v>660</v>
      </c>
    </row>
    <row r="149" spans="1:12" ht="47.25" x14ac:dyDescent="0.25">
      <c r="A149" s="2" t="str">
        <f>HYPERLINK("http://prozorro.gov.ua/tender/UA-2022-07-18-000936-a/","UA-2022-07-18-000936-a")</f>
        <v>UA-2022-07-18-000936-a</v>
      </c>
      <c r="B149" s="3" t="s">
        <v>210</v>
      </c>
      <c r="C149" s="3" t="s">
        <v>18</v>
      </c>
      <c r="D149" s="4">
        <v>44760</v>
      </c>
      <c r="E149" s="4">
        <v>44926</v>
      </c>
      <c r="F149" s="3" t="s">
        <v>12</v>
      </c>
      <c r="G149" s="3" t="s">
        <v>13</v>
      </c>
      <c r="H149" s="3" t="s">
        <v>14</v>
      </c>
      <c r="I149" s="3" t="s">
        <v>84</v>
      </c>
      <c r="J149" s="3" t="s">
        <v>85</v>
      </c>
      <c r="K149" s="5">
        <v>1000</v>
      </c>
      <c r="L149" s="5">
        <v>1000</v>
      </c>
    </row>
    <row r="150" spans="1:12" ht="47.25" x14ac:dyDescent="0.25">
      <c r="A150" s="2" t="str">
        <f>HYPERLINK("http://prozorro.gov.ua/tender/UA-2022-07-19-000638-a/","UA-2022-07-19-000638-a")</f>
        <v>UA-2022-07-19-000638-a</v>
      </c>
      <c r="B150" s="3" t="s">
        <v>211</v>
      </c>
      <c r="C150" s="3" t="s">
        <v>18</v>
      </c>
      <c r="D150" s="4">
        <v>44761</v>
      </c>
      <c r="E150" s="4">
        <v>44926</v>
      </c>
      <c r="F150" s="3" t="s">
        <v>12</v>
      </c>
      <c r="G150" s="3" t="s">
        <v>13</v>
      </c>
      <c r="H150" s="3" t="s">
        <v>14</v>
      </c>
      <c r="I150" s="3" t="s">
        <v>212</v>
      </c>
      <c r="J150" s="3" t="s">
        <v>213</v>
      </c>
      <c r="K150" s="5">
        <v>11600</v>
      </c>
      <c r="L150" s="5">
        <v>11600</v>
      </c>
    </row>
    <row r="151" spans="1:12" ht="47.25" x14ac:dyDescent="0.25">
      <c r="A151" s="2" t="str">
        <f>HYPERLINK("http://prozorro.gov.ua/tender/UA-2022-07-19-000799-a/","UA-2022-07-19-000799-a")</f>
        <v>UA-2022-07-19-000799-a</v>
      </c>
      <c r="B151" s="3" t="s">
        <v>214</v>
      </c>
      <c r="C151" s="3" t="s">
        <v>18</v>
      </c>
      <c r="D151" s="4">
        <v>44761</v>
      </c>
      <c r="E151" s="4">
        <v>44926</v>
      </c>
      <c r="F151" s="3" t="s">
        <v>12</v>
      </c>
      <c r="G151" s="3" t="s">
        <v>13</v>
      </c>
      <c r="H151" s="3" t="s">
        <v>14</v>
      </c>
      <c r="I151" s="3" t="s">
        <v>215</v>
      </c>
      <c r="J151" s="3" t="s">
        <v>216</v>
      </c>
      <c r="K151" s="5">
        <v>20350</v>
      </c>
      <c r="L151" s="5">
        <v>20350</v>
      </c>
    </row>
    <row r="152" spans="1:12" ht="47.25" x14ac:dyDescent="0.25">
      <c r="A152" s="2" t="str">
        <f>HYPERLINK("http://prozorro.gov.ua/tender/UA-2022-08-04-004143-a/","UA-2022-08-04-004143-a")</f>
        <v>UA-2022-08-04-004143-a</v>
      </c>
      <c r="B152" s="3" t="s">
        <v>217</v>
      </c>
      <c r="C152" s="3" t="s">
        <v>18</v>
      </c>
      <c r="D152" s="4">
        <v>44777</v>
      </c>
      <c r="E152" s="4">
        <v>44926</v>
      </c>
      <c r="F152" s="3" t="s">
        <v>12</v>
      </c>
      <c r="G152" s="3" t="s">
        <v>13</v>
      </c>
      <c r="H152" s="3" t="s">
        <v>14</v>
      </c>
      <c r="I152" s="3" t="s">
        <v>93</v>
      </c>
      <c r="J152" s="3" t="s">
        <v>94</v>
      </c>
      <c r="K152" s="5">
        <v>325</v>
      </c>
      <c r="L152" s="5">
        <v>325</v>
      </c>
    </row>
    <row r="153" spans="1:12" ht="47.25" x14ac:dyDescent="0.25">
      <c r="A153" s="2" t="str">
        <f>HYPERLINK("http://prozorro.gov.ua/tender/UA-2022-08-04-004360-a/","UA-2022-08-04-004360-a")</f>
        <v>UA-2022-08-04-004360-a</v>
      </c>
      <c r="B153" s="3" t="s">
        <v>217</v>
      </c>
      <c r="C153" s="3" t="s">
        <v>18</v>
      </c>
      <c r="D153" s="4">
        <v>44777</v>
      </c>
      <c r="E153" s="4">
        <v>44926</v>
      </c>
      <c r="F153" s="3" t="s">
        <v>12</v>
      </c>
      <c r="G153" s="3" t="s">
        <v>13</v>
      </c>
      <c r="H153" s="3" t="s">
        <v>14</v>
      </c>
      <c r="I153" s="3" t="s">
        <v>93</v>
      </c>
      <c r="J153" s="3" t="s">
        <v>94</v>
      </c>
      <c r="K153" s="5">
        <v>161</v>
      </c>
      <c r="L153" s="5">
        <v>161</v>
      </c>
    </row>
    <row r="154" spans="1:12" ht="47.25" x14ac:dyDescent="0.25">
      <c r="A154" s="2" t="str">
        <f>HYPERLINK("http://prozorro.gov.ua/tender/UA-2022-08-04-004479-a/","UA-2022-08-04-004479-a")</f>
        <v>UA-2022-08-04-004479-a</v>
      </c>
      <c r="B154" s="3" t="s">
        <v>217</v>
      </c>
      <c r="C154" s="3" t="s">
        <v>18</v>
      </c>
      <c r="D154" s="4">
        <v>44777</v>
      </c>
      <c r="E154" s="4">
        <v>44926</v>
      </c>
      <c r="F154" s="3" t="s">
        <v>12</v>
      </c>
      <c r="G154" s="3" t="s">
        <v>13</v>
      </c>
      <c r="H154" s="3" t="s">
        <v>14</v>
      </c>
      <c r="I154" s="3" t="s">
        <v>93</v>
      </c>
      <c r="J154" s="3" t="s">
        <v>94</v>
      </c>
      <c r="K154" s="5">
        <v>96</v>
      </c>
      <c r="L154" s="5">
        <v>96</v>
      </c>
    </row>
    <row r="155" spans="1:12" ht="47.25" x14ac:dyDescent="0.25">
      <c r="A155" s="2" t="str">
        <f>HYPERLINK("http://prozorro.gov.ua/tender/UA-2022-08-04-004543-a/","UA-2022-08-04-004543-a")</f>
        <v>UA-2022-08-04-004543-a</v>
      </c>
      <c r="B155" s="3" t="s">
        <v>217</v>
      </c>
      <c r="C155" s="3" t="s">
        <v>18</v>
      </c>
      <c r="D155" s="4">
        <v>44777</v>
      </c>
      <c r="E155" s="4">
        <v>44926</v>
      </c>
      <c r="F155" s="3" t="s">
        <v>12</v>
      </c>
      <c r="G155" s="3" t="s">
        <v>13</v>
      </c>
      <c r="H155" s="3" t="s">
        <v>14</v>
      </c>
      <c r="I155" s="3" t="s">
        <v>93</v>
      </c>
      <c r="J155" s="3" t="s">
        <v>94</v>
      </c>
      <c r="K155" s="5">
        <v>71</v>
      </c>
      <c r="L155" s="5">
        <v>71</v>
      </c>
    </row>
    <row r="156" spans="1:12" ht="47.25" x14ac:dyDescent="0.25">
      <c r="A156" s="2" t="str">
        <f>HYPERLINK("http://prozorro.gov.ua/tender/UA-2022-08-04-004618-a/","UA-2022-08-04-004618-a")</f>
        <v>UA-2022-08-04-004618-a</v>
      </c>
      <c r="B156" s="3" t="s">
        <v>217</v>
      </c>
      <c r="C156" s="3" t="s">
        <v>18</v>
      </c>
      <c r="D156" s="4">
        <v>44777</v>
      </c>
      <c r="E156" s="4">
        <v>44926</v>
      </c>
      <c r="F156" s="3" t="s">
        <v>12</v>
      </c>
      <c r="G156" s="3" t="s">
        <v>13</v>
      </c>
      <c r="H156" s="3" t="s">
        <v>14</v>
      </c>
      <c r="I156" s="3" t="s">
        <v>93</v>
      </c>
      <c r="J156" s="3" t="s">
        <v>94</v>
      </c>
      <c r="K156" s="5">
        <v>530</v>
      </c>
      <c r="L156" s="5">
        <v>530</v>
      </c>
    </row>
    <row r="157" spans="1:12" ht="47.25" x14ac:dyDescent="0.25">
      <c r="A157" s="2" t="str">
        <f>HYPERLINK("http://prozorro.gov.ua/tender/UA-2022-08-12-001295-a/","UA-2022-08-12-001295-a")</f>
        <v>UA-2022-08-12-001295-a</v>
      </c>
      <c r="B157" s="3" t="s">
        <v>218</v>
      </c>
      <c r="C157" s="3" t="s">
        <v>18</v>
      </c>
      <c r="D157" s="4">
        <v>44785</v>
      </c>
      <c r="E157" s="4">
        <v>44926</v>
      </c>
      <c r="F157" s="3" t="s">
        <v>12</v>
      </c>
      <c r="G157" s="3" t="s">
        <v>13</v>
      </c>
      <c r="H157" s="3" t="s">
        <v>14</v>
      </c>
      <c r="I157" s="3" t="s">
        <v>219</v>
      </c>
      <c r="J157" s="3" t="s">
        <v>220</v>
      </c>
      <c r="K157" s="5">
        <v>8755.1299999999992</v>
      </c>
      <c r="L157" s="5">
        <v>8755.1299999999992</v>
      </c>
    </row>
    <row r="158" spans="1:12" ht="47.25" x14ac:dyDescent="0.25">
      <c r="A158" s="2" t="str">
        <f>HYPERLINK("http://prozorro.gov.ua/tender/UA-2022-08-12-001710-a/","UA-2022-08-12-001710-a")</f>
        <v>UA-2022-08-12-001710-a</v>
      </c>
      <c r="B158" s="3" t="s">
        <v>221</v>
      </c>
      <c r="C158" s="3" t="s">
        <v>18</v>
      </c>
      <c r="D158" s="4">
        <v>44785</v>
      </c>
      <c r="E158" s="4">
        <v>44926</v>
      </c>
      <c r="F158" s="3" t="s">
        <v>12</v>
      </c>
      <c r="G158" s="3" t="s">
        <v>13</v>
      </c>
      <c r="H158" s="3" t="s">
        <v>14</v>
      </c>
      <c r="I158" s="3" t="s">
        <v>219</v>
      </c>
      <c r="J158" s="3" t="s">
        <v>220</v>
      </c>
      <c r="K158" s="5">
        <v>11624.72</v>
      </c>
      <c r="L158" s="5">
        <v>11624.72</v>
      </c>
    </row>
    <row r="159" spans="1:12" ht="47.25" x14ac:dyDescent="0.25">
      <c r="A159" s="2" t="str">
        <f>HYPERLINK("http://prozorro.gov.ua/tender/UA-2022-08-12-003102-a/","UA-2022-08-12-003102-a")</f>
        <v>UA-2022-08-12-003102-a</v>
      </c>
      <c r="B159" s="3" t="s">
        <v>222</v>
      </c>
      <c r="C159" s="3" t="s">
        <v>18</v>
      </c>
      <c r="D159" s="4">
        <v>44785</v>
      </c>
      <c r="E159" s="4">
        <v>44926</v>
      </c>
      <c r="F159" s="3" t="s">
        <v>12</v>
      </c>
      <c r="G159" s="3" t="s">
        <v>13</v>
      </c>
      <c r="H159" s="3" t="s">
        <v>14</v>
      </c>
      <c r="I159" s="3" t="s">
        <v>223</v>
      </c>
      <c r="J159" s="3" t="s">
        <v>224</v>
      </c>
      <c r="K159" s="5">
        <v>3718.07</v>
      </c>
      <c r="L159" s="5">
        <v>3718.07</v>
      </c>
    </row>
    <row r="160" spans="1:12" ht="47.25" x14ac:dyDescent="0.25">
      <c r="A160" s="2" t="str">
        <f>HYPERLINK("http://prozorro.gov.ua/tender/UA-2022-08-15-006284-a/","UA-2022-08-15-006284-a")</f>
        <v>UA-2022-08-15-006284-a</v>
      </c>
      <c r="B160" s="3" t="s">
        <v>225</v>
      </c>
      <c r="C160" s="3" t="s">
        <v>18</v>
      </c>
      <c r="D160" s="4">
        <v>44788</v>
      </c>
      <c r="E160" s="4">
        <v>44926</v>
      </c>
      <c r="F160" s="3" t="s">
        <v>12</v>
      </c>
      <c r="G160" s="3" t="s">
        <v>13</v>
      </c>
      <c r="H160" s="3" t="s">
        <v>14</v>
      </c>
      <c r="I160" s="3" t="s">
        <v>78</v>
      </c>
      <c r="J160" s="3" t="s">
        <v>79</v>
      </c>
      <c r="K160" s="5">
        <v>1085</v>
      </c>
      <c r="L160" s="5">
        <v>1085</v>
      </c>
    </row>
    <row r="161" spans="1:12" ht="47.25" x14ac:dyDescent="0.25">
      <c r="A161" s="2" t="str">
        <f>HYPERLINK("http://prozorro.gov.ua/tender/UA-2022-08-15-006468-a/","UA-2022-08-15-006468-a")</f>
        <v>UA-2022-08-15-006468-a</v>
      </c>
      <c r="B161" s="3" t="s">
        <v>225</v>
      </c>
      <c r="C161" s="3" t="s">
        <v>18</v>
      </c>
      <c r="D161" s="4">
        <v>44788</v>
      </c>
      <c r="E161" s="4">
        <v>44926</v>
      </c>
      <c r="F161" s="3" t="s">
        <v>12</v>
      </c>
      <c r="G161" s="3" t="s">
        <v>13</v>
      </c>
      <c r="H161" s="3" t="s">
        <v>14</v>
      </c>
      <c r="I161" s="3" t="s">
        <v>78</v>
      </c>
      <c r="J161" s="3" t="s">
        <v>79</v>
      </c>
      <c r="K161" s="5">
        <v>11899</v>
      </c>
      <c r="L161" s="5">
        <v>11899</v>
      </c>
    </row>
    <row r="162" spans="1:12" ht="47.25" x14ac:dyDescent="0.25">
      <c r="A162" s="2" t="str">
        <f>HYPERLINK("http://prozorro.gov.ua/tender/UA-2022-08-18-001178-a/","UA-2022-08-18-001178-a")</f>
        <v>UA-2022-08-18-001178-a</v>
      </c>
      <c r="B162" s="3" t="s">
        <v>226</v>
      </c>
      <c r="C162" s="3" t="s">
        <v>18</v>
      </c>
      <c r="D162" s="4">
        <v>44791</v>
      </c>
      <c r="E162" s="4">
        <v>44926</v>
      </c>
      <c r="F162" s="3" t="s">
        <v>12</v>
      </c>
      <c r="G162" s="3" t="s">
        <v>13</v>
      </c>
      <c r="H162" s="3" t="s">
        <v>14</v>
      </c>
      <c r="I162" s="3" t="s">
        <v>15</v>
      </c>
      <c r="J162" s="3" t="s">
        <v>16</v>
      </c>
      <c r="K162" s="5">
        <v>49000</v>
      </c>
      <c r="L162" s="5">
        <v>49000</v>
      </c>
    </row>
    <row r="163" spans="1:12" ht="47.25" x14ac:dyDescent="0.25">
      <c r="A163" s="2" t="str">
        <f>HYPERLINK("http://prozorro.gov.ua/tender/UA-2022-08-19-003077-a/","UA-2022-08-19-003077-a")</f>
        <v>UA-2022-08-19-003077-a</v>
      </c>
      <c r="B163" s="3" t="s">
        <v>227</v>
      </c>
      <c r="C163" s="3" t="s">
        <v>18</v>
      </c>
      <c r="D163" s="4">
        <v>44792</v>
      </c>
      <c r="E163" s="4">
        <v>44926</v>
      </c>
      <c r="F163" s="3" t="s">
        <v>12</v>
      </c>
      <c r="G163" s="3" t="s">
        <v>13</v>
      </c>
      <c r="H163" s="3" t="s">
        <v>14</v>
      </c>
      <c r="I163" s="3" t="s">
        <v>228</v>
      </c>
      <c r="J163" s="3" t="s">
        <v>229</v>
      </c>
      <c r="K163" s="5">
        <v>6138</v>
      </c>
      <c r="L163" s="5">
        <v>6138</v>
      </c>
    </row>
    <row r="164" spans="1:12" ht="47.25" x14ac:dyDescent="0.25">
      <c r="A164" s="2" t="str">
        <f>HYPERLINK("http://prozorro.gov.ua/tender/UA-2022-08-26-003536-a/","UA-2022-08-26-003536-a")</f>
        <v>UA-2022-08-26-003536-a</v>
      </c>
      <c r="B164" s="3" t="s">
        <v>230</v>
      </c>
      <c r="C164" s="3" t="s">
        <v>18</v>
      </c>
      <c r="D164" s="4">
        <v>44799</v>
      </c>
      <c r="E164" s="4">
        <v>44926</v>
      </c>
      <c r="F164" s="3" t="s">
        <v>12</v>
      </c>
      <c r="G164" s="3" t="s">
        <v>13</v>
      </c>
      <c r="H164" s="3" t="s">
        <v>14</v>
      </c>
      <c r="I164" s="3" t="s">
        <v>231</v>
      </c>
      <c r="J164" s="3" t="s">
        <v>232</v>
      </c>
      <c r="K164" s="5">
        <v>1150</v>
      </c>
      <c r="L164" s="5">
        <v>1150</v>
      </c>
    </row>
    <row r="165" spans="1:12" ht="47.25" x14ac:dyDescent="0.25">
      <c r="A165" s="2" t="str">
        <f>HYPERLINK("http://prozorro.gov.ua/tender/UA-2022-08-29-000436-a/","UA-2022-08-29-000436-a")</f>
        <v>UA-2022-08-29-000436-a</v>
      </c>
      <c r="B165" s="3" t="s">
        <v>233</v>
      </c>
      <c r="C165" s="3" t="s">
        <v>18</v>
      </c>
      <c r="D165" s="4">
        <v>44802</v>
      </c>
      <c r="E165" s="4">
        <v>44926</v>
      </c>
      <c r="F165" s="3" t="s">
        <v>12</v>
      </c>
      <c r="G165" s="3" t="s">
        <v>13</v>
      </c>
      <c r="H165" s="3" t="s">
        <v>14</v>
      </c>
      <c r="I165" s="3" t="s">
        <v>84</v>
      </c>
      <c r="J165" s="3" t="s">
        <v>85</v>
      </c>
      <c r="K165" s="5">
        <v>925</v>
      </c>
      <c r="L165" s="5">
        <v>925</v>
      </c>
    </row>
    <row r="166" spans="1:12" ht="47.25" x14ac:dyDescent="0.25">
      <c r="A166" s="2" t="str">
        <f>HYPERLINK("http://prozorro.gov.ua/tender/UA-2022-08-29-000713-a/","UA-2022-08-29-000713-a")</f>
        <v>UA-2022-08-29-000713-a</v>
      </c>
      <c r="B166" s="3" t="s">
        <v>234</v>
      </c>
      <c r="C166" s="3" t="s">
        <v>18</v>
      </c>
      <c r="D166" s="4">
        <v>44802</v>
      </c>
      <c r="E166" s="4">
        <v>44926</v>
      </c>
      <c r="F166" s="3" t="s">
        <v>12</v>
      </c>
      <c r="G166" s="3" t="s">
        <v>13</v>
      </c>
      <c r="H166" s="3" t="s">
        <v>14</v>
      </c>
      <c r="I166" s="3" t="s">
        <v>84</v>
      </c>
      <c r="J166" s="3" t="s">
        <v>85</v>
      </c>
      <c r="K166" s="5">
        <v>990</v>
      </c>
      <c r="L166" s="5">
        <v>990</v>
      </c>
    </row>
    <row r="167" spans="1:12" ht="47.25" x14ac:dyDescent="0.25">
      <c r="A167" s="2" t="str">
        <f>HYPERLINK("http://prozorro.gov.ua/tender/UA-2022-08-29-001491-a/","UA-2022-08-29-001491-a")</f>
        <v>UA-2022-08-29-001491-a</v>
      </c>
      <c r="B167" s="3" t="s">
        <v>235</v>
      </c>
      <c r="C167" s="3" t="s">
        <v>18</v>
      </c>
      <c r="D167" s="4">
        <v>44802</v>
      </c>
      <c r="E167" s="4">
        <v>44926</v>
      </c>
      <c r="F167" s="3" t="s">
        <v>12</v>
      </c>
      <c r="G167" s="3" t="s">
        <v>13</v>
      </c>
      <c r="H167" s="3" t="s">
        <v>14</v>
      </c>
      <c r="I167" s="3" t="s">
        <v>84</v>
      </c>
      <c r="J167" s="3" t="s">
        <v>85</v>
      </c>
      <c r="K167" s="5">
        <v>4250</v>
      </c>
      <c r="L167" s="5">
        <v>4250</v>
      </c>
    </row>
    <row r="168" spans="1:12" ht="47.25" x14ac:dyDescent="0.25">
      <c r="A168" s="2" t="str">
        <f>HYPERLINK("http://prozorro.gov.ua/tender/UA-2022-08-30-000646-a/","UA-2022-08-30-000646-a")</f>
        <v>UA-2022-08-30-000646-a</v>
      </c>
      <c r="B168" s="3" t="s">
        <v>236</v>
      </c>
      <c r="C168" s="3" t="s">
        <v>18</v>
      </c>
      <c r="D168" s="4">
        <v>44803</v>
      </c>
      <c r="E168" s="4">
        <v>44926</v>
      </c>
      <c r="F168" s="3" t="s">
        <v>12</v>
      </c>
      <c r="G168" s="3" t="s">
        <v>13</v>
      </c>
      <c r="H168" s="3" t="s">
        <v>14</v>
      </c>
      <c r="I168" s="3" t="s">
        <v>237</v>
      </c>
      <c r="J168" s="3" t="s">
        <v>238</v>
      </c>
      <c r="K168" s="5">
        <v>612</v>
      </c>
      <c r="L168" s="5">
        <v>612</v>
      </c>
    </row>
    <row r="169" spans="1:12" ht="47.25" x14ac:dyDescent="0.25">
      <c r="A169" s="2" t="str">
        <f>HYPERLINK("http://prozorro.gov.ua/tender/UA-2022-09-20-008698-a/","UA-2022-09-20-008698-a")</f>
        <v>UA-2022-09-20-008698-a</v>
      </c>
      <c r="B169" s="3" t="s">
        <v>239</v>
      </c>
      <c r="C169" s="3" t="s">
        <v>18</v>
      </c>
      <c r="D169" s="4">
        <v>44824</v>
      </c>
      <c r="E169" s="4">
        <v>44926</v>
      </c>
      <c r="F169" s="3" t="s">
        <v>12</v>
      </c>
      <c r="G169" s="3" t="s">
        <v>13</v>
      </c>
      <c r="H169" s="3" t="s">
        <v>14</v>
      </c>
      <c r="I169" s="3" t="s">
        <v>104</v>
      </c>
      <c r="J169" s="3" t="s">
        <v>105</v>
      </c>
      <c r="K169" s="5">
        <v>11600</v>
      </c>
      <c r="L169" s="5">
        <v>11600</v>
      </c>
    </row>
    <row r="170" spans="1:12" ht="47.25" x14ac:dyDescent="0.25">
      <c r="A170" s="2" t="str">
        <f>HYPERLINK("http://prozorro.gov.ua/tender/UA-2022-09-21-006467-a/","UA-2022-09-21-006467-a")</f>
        <v>UA-2022-09-21-006467-a</v>
      </c>
      <c r="B170" s="3" t="s">
        <v>240</v>
      </c>
      <c r="C170" s="3" t="s">
        <v>18</v>
      </c>
      <c r="D170" s="4">
        <v>44825</v>
      </c>
      <c r="E170" s="4">
        <v>44926</v>
      </c>
      <c r="F170" s="3" t="s">
        <v>12</v>
      </c>
      <c r="G170" s="3" t="s">
        <v>13</v>
      </c>
      <c r="H170" s="3" t="s">
        <v>14</v>
      </c>
      <c r="I170" s="3" t="s">
        <v>168</v>
      </c>
      <c r="J170" s="3" t="s">
        <v>169</v>
      </c>
      <c r="K170" s="5">
        <v>3300</v>
      </c>
      <c r="L170" s="5">
        <v>3300</v>
      </c>
    </row>
    <row r="171" spans="1:12" ht="47.25" x14ac:dyDescent="0.25">
      <c r="A171" s="2" t="str">
        <f>HYPERLINK("http://prozorro.gov.ua/tender/UA-2022-09-28-000282-a/","UA-2022-09-28-000282-a")</f>
        <v>UA-2022-09-28-000282-a</v>
      </c>
      <c r="B171" s="3" t="s">
        <v>241</v>
      </c>
      <c r="C171" s="3" t="s">
        <v>18</v>
      </c>
      <c r="D171" s="4">
        <v>44832</v>
      </c>
      <c r="E171" s="4">
        <v>44926</v>
      </c>
      <c r="F171" s="3" t="s">
        <v>12</v>
      </c>
      <c r="G171" s="3" t="s">
        <v>13</v>
      </c>
      <c r="H171" s="3" t="s">
        <v>14</v>
      </c>
      <c r="I171" s="3" t="s">
        <v>242</v>
      </c>
      <c r="J171" s="3" t="s">
        <v>243</v>
      </c>
      <c r="K171" s="5">
        <v>5848</v>
      </c>
      <c r="L171" s="5">
        <v>5848</v>
      </c>
    </row>
    <row r="172" spans="1:12" ht="47.25" x14ac:dyDescent="0.25">
      <c r="A172" s="2" t="str">
        <f>HYPERLINK("http://prozorro.gov.ua/tender/UA-2022-09-28-000542-a/","UA-2022-09-28-000542-a")</f>
        <v>UA-2022-09-28-000542-a</v>
      </c>
      <c r="B172" s="3" t="s">
        <v>244</v>
      </c>
      <c r="C172" s="3" t="s">
        <v>18</v>
      </c>
      <c r="D172" s="4">
        <v>44832</v>
      </c>
      <c r="E172" s="4">
        <v>44926</v>
      </c>
      <c r="F172" s="3" t="s">
        <v>12</v>
      </c>
      <c r="G172" s="3" t="s">
        <v>13</v>
      </c>
      <c r="H172" s="3" t="s">
        <v>14</v>
      </c>
      <c r="I172" s="3" t="s">
        <v>96</v>
      </c>
      <c r="J172" s="3" t="s">
        <v>97</v>
      </c>
      <c r="K172" s="5">
        <v>60</v>
      </c>
      <c r="L172" s="5">
        <v>60</v>
      </c>
    </row>
    <row r="173" spans="1:12" ht="47.25" x14ac:dyDescent="0.25">
      <c r="A173" s="2" t="str">
        <f>HYPERLINK("http://prozorro.gov.ua/tender/UA-2022-09-28-000854-a/","UA-2022-09-28-000854-a")</f>
        <v>UA-2022-09-28-000854-a</v>
      </c>
      <c r="B173" s="3" t="s">
        <v>244</v>
      </c>
      <c r="C173" s="3" t="s">
        <v>18</v>
      </c>
      <c r="D173" s="4">
        <v>44832</v>
      </c>
      <c r="E173" s="4">
        <v>44926</v>
      </c>
      <c r="F173" s="3" t="s">
        <v>12</v>
      </c>
      <c r="G173" s="3" t="s">
        <v>13</v>
      </c>
      <c r="H173" s="3" t="s">
        <v>14</v>
      </c>
      <c r="I173" s="3" t="s">
        <v>96</v>
      </c>
      <c r="J173" s="3" t="s">
        <v>97</v>
      </c>
      <c r="K173" s="5">
        <v>1830</v>
      </c>
      <c r="L173" s="5">
        <v>1830</v>
      </c>
    </row>
    <row r="174" spans="1:12" ht="47.25" x14ac:dyDescent="0.25">
      <c r="A174" s="2" t="str">
        <f>HYPERLINK("http://prozorro.gov.ua/tender/UA-2022-09-28-001294-a/","UA-2022-09-28-001294-a")</f>
        <v>UA-2022-09-28-001294-a</v>
      </c>
      <c r="B174" s="3" t="s">
        <v>244</v>
      </c>
      <c r="C174" s="3" t="s">
        <v>18</v>
      </c>
      <c r="D174" s="4">
        <v>44832</v>
      </c>
      <c r="E174" s="4">
        <v>44926</v>
      </c>
      <c r="F174" s="3" t="s">
        <v>12</v>
      </c>
      <c r="G174" s="3" t="s">
        <v>13</v>
      </c>
      <c r="H174" s="3" t="s">
        <v>14</v>
      </c>
      <c r="I174" s="3" t="s">
        <v>96</v>
      </c>
      <c r="J174" s="3" t="s">
        <v>97</v>
      </c>
      <c r="K174" s="5">
        <v>10450</v>
      </c>
      <c r="L174" s="5">
        <v>10450</v>
      </c>
    </row>
    <row r="175" spans="1:12" ht="47.25" x14ac:dyDescent="0.25">
      <c r="A175" s="2" t="str">
        <f>HYPERLINK("http://prozorro.gov.ua/tender/UA-2022-09-28-001475-a/","UA-2022-09-28-001475-a")</f>
        <v>UA-2022-09-28-001475-a</v>
      </c>
      <c r="B175" s="3" t="s">
        <v>244</v>
      </c>
      <c r="C175" s="3" t="s">
        <v>18</v>
      </c>
      <c r="D175" s="4">
        <v>44832</v>
      </c>
      <c r="E175" s="4">
        <v>44926</v>
      </c>
      <c r="F175" s="3" t="s">
        <v>12</v>
      </c>
      <c r="G175" s="3" t="s">
        <v>13</v>
      </c>
      <c r="H175" s="3" t="s">
        <v>14</v>
      </c>
      <c r="I175" s="3" t="s">
        <v>96</v>
      </c>
      <c r="J175" s="3" t="s">
        <v>97</v>
      </c>
      <c r="K175" s="5">
        <v>1220</v>
      </c>
      <c r="L175" s="5">
        <v>1220</v>
      </c>
    </row>
    <row r="176" spans="1:12" ht="47.25" x14ac:dyDescent="0.25">
      <c r="A176" s="2" t="str">
        <f>HYPERLINK("http://prozorro.gov.ua/tender/UA-2022-09-28-001795-a/","UA-2022-09-28-001795-a")</f>
        <v>UA-2022-09-28-001795-a</v>
      </c>
      <c r="B176" s="3" t="s">
        <v>244</v>
      </c>
      <c r="C176" s="3" t="s">
        <v>18</v>
      </c>
      <c r="D176" s="4">
        <v>44832</v>
      </c>
      <c r="E176" s="4">
        <v>44926</v>
      </c>
      <c r="F176" s="3" t="s">
        <v>12</v>
      </c>
      <c r="G176" s="3" t="s">
        <v>13</v>
      </c>
      <c r="H176" s="3" t="s">
        <v>14</v>
      </c>
      <c r="I176" s="3" t="s">
        <v>96</v>
      </c>
      <c r="J176" s="3" t="s">
        <v>97</v>
      </c>
      <c r="K176" s="5">
        <v>770</v>
      </c>
      <c r="L176" s="5">
        <v>770</v>
      </c>
    </row>
    <row r="177" spans="1:12" ht="47.25" x14ac:dyDescent="0.25">
      <c r="A177" s="2" t="str">
        <f>HYPERLINK("http://prozorro.gov.ua/tender/UA-2022-09-30-001072-a/","UA-2022-09-30-001072-a")</f>
        <v>UA-2022-09-30-001072-a</v>
      </c>
      <c r="B177" s="3" t="s">
        <v>245</v>
      </c>
      <c r="C177" s="3" t="s">
        <v>18</v>
      </c>
      <c r="D177" s="4">
        <v>44834</v>
      </c>
      <c r="E177" s="4">
        <v>44926</v>
      </c>
      <c r="F177" s="3" t="s">
        <v>12</v>
      </c>
      <c r="G177" s="3" t="s">
        <v>13</v>
      </c>
      <c r="H177" s="3" t="s">
        <v>14</v>
      </c>
      <c r="I177" s="3" t="s">
        <v>93</v>
      </c>
      <c r="J177" s="3" t="s">
        <v>94</v>
      </c>
      <c r="K177" s="5">
        <v>1292</v>
      </c>
      <c r="L177" s="5">
        <v>1292</v>
      </c>
    </row>
    <row r="178" spans="1:12" ht="47.25" x14ac:dyDescent="0.25">
      <c r="A178" s="2" t="str">
        <f>HYPERLINK("http://prozorro.gov.ua/tender/UA-2022-09-30-001230-a/","UA-2022-09-30-001230-a")</f>
        <v>UA-2022-09-30-001230-a</v>
      </c>
      <c r="B178" s="3" t="s">
        <v>245</v>
      </c>
      <c r="C178" s="3" t="s">
        <v>18</v>
      </c>
      <c r="D178" s="4">
        <v>44834</v>
      </c>
      <c r="E178" s="4">
        <v>44926</v>
      </c>
      <c r="F178" s="3" t="s">
        <v>12</v>
      </c>
      <c r="G178" s="3" t="s">
        <v>13</v>
      </c>
      <c r="H178" s="3" t="s">
        <v>14</v>
      </c>
      <c r="I178" s="3" t="s">
        <v>93</v>
      </c>
      <c r="J178" s="3" t="s">
        <v>94</v>
      </c>
      <c r="K178" s="5">
        <v>265</v>
      </c>
      <c r="L178" s="5">
        <v>265</v>
      </c>
    </row>
    <row r="179" spans="1:12" ht="47.25" x14ac:dyDescent="0.25">
      <c r="A179" s="2" t="str">
        <f>HYPERLINK("http://prozorro.gov.ua/tender/UA-2022-09-30-001372-a/","UA-2022-09-30-001372-a")</f>
        <v>UA-2022-09-30-001372-a</v>
      </c>
      <c r="B179" s="3" t="s">
        <v>245</v>
      </c>
      <c r="C179" s="3" t="s">
        <v>18</v>
      </c>
      <c r="D179" s="4">
        <v>44834</v>
      </c>
      <c r="E179" s="4">
        <v>44926</v>
      </c>
      <c r="F179" s="3" t="s">
        <v>12</v>
      </c>
      <c r="G179" s="3" t="s">
        <v>13</v>
      </c>
      <c r="H179" s="3" t="s">
        <v>14</v>
      </c>
      <c r="I179" s="3" t="s">
        <v>93</v>
      </c>
      <c r="J179" s="3" t="s">
        <v>94</v>
      </c>
      <c r="K179" s="5">
        <v>165</v>
      </c>
      <c r="L179" s="5">
        <v>165</v>
      </c>
    </row>
    <row r="180" spans="1:12" ht="47.25" x14ac:dyDescent="0.25">
      <c r="A180" s="2" t="str">
        <f>HYPERLINK("http://prozorro.gov.ua/tender/UA-2022-09-30-001470-a/","UA-2022-09-30-001470-a")</f>
        <v>UA-2022-09-30-001470-a</v>
      </c>
      <c r="B180" s="3" t="s">
        <v>245</v>
      </c>
      <c r="C180" s="3" t="s">
        <v>18</v>
      </c>
      <c r="D180" s="4">
        <v>44834</v>
      </c>
      <c r="E180" s="4">
        <v>44926</v>
      </c>
      <c r="F180" s="3" t="s">
        <v>12</v>
      </c>
      <c r="G180" s="3" t="s">
        <v>13</v>
      </c>
      <c r="H180" s="3" t="s">
        <v>14</v>
      </c>
      <c r="I180" s="3" t="s">
        <v>93</v>
      </c>
      <c r="J180" s="3" t="s">
        <v>94</v>
      </c>
      <c r="K180" s="5">
        <v>20</v>
      </c>
      <c r="L180" s="5">
        <v>20</v>
      </c>
    </row>
    <row r="181" spans="1:12" ht="47.25" x14ac:dyDescent="0.25">
      <c r="A181" s="2" t="str">
        <f>HYPERLINK("http://prozorro.gov.ua/tender/UA-2022-09-30-003360-a/","UA-2022-09-30-003360-a")</f>
        <v>UA-2022-09-30-003360-a</v>
      </c>
      <c r="B181" s="3" t="s">
        <v>246</v>
      </c>
      <c r="C181" s="3" t="s">
        <v>18</v>
      </c>
      <c r="D181" s="4">
        <v>44834</v>
      </c>
      <c r="E181" s="4">
        <v>44926</v>
      </c>
      <c r="F181" s="3" t="s">
        <v>12</v>
      </c>
      <c r="G181" s="3" t="s">
        <v>13</v>
      </c>
      <c r="H181" s="3" t="s">
        <v>14</v>
      </c>
      <c r="I181" s="3" t="s">
        <v>93</v>
      </c>
      <c r="J181" s="3" t="s">
        <v>94</v>
      </c>
      <c r="K181" s="5">
        <v>1281</v>
      </c>
      <c r="L181" s="5">
        <v>1281</v>
      </c>
    </row>
    <row r="182" spans="1:12" ht="47.25" x14ac:dyDescent="0.25">
      <c r="A182" s="2" t="str">
        <f>HYPERLINK("http://prozorro.gov.ua/tender/UA-2022-09-30-003528-a/","UA-2022-09-30-003528-a")</f>
        <v>UA-2022-09-30-003528-a</v>
      </c>
      <c r="B182" s="3" t="s">
        <v>246</v>
      </c>
      <c r="C182" s="3" t="s">
        <v>18</v>
      </c>
      <c r="D182" s="4">
        <v>44834</v>
      </c>
      <c r="E182" s="4">
        <v>44926</v>
      </c>
      <c r="F182" s="3" t="s">
        <v>12</v>
      </c>
      <c r="G182" s="3" t="s">
        <v>13</v>
      </c>
      <c r="H182" s="3" t="s">
        <v>14</v>
      </c>
      <c r="I182" s="3" t="s">
        <v>93</v>
      </c>
      <c r="J182" s="3" t="s">
        <v>94</v>
      </c>
      <c r="K182" s="5">
        <v>820</v>
      </c>
      <c r="L182" s="5">
        <v>820</v>
      </c>
    </row>
    <row r="183" spans="1:12" ht="47.25" x14ac:dyDescent="0.25">
      <c r="A183" s="2" t="str">
        <f>HYPERLINK("http://prozorro.gov.ua/tender/UA-2022-09-30-003805-a/","UA-2022-09-30-003805-a")</f>
        <v>UA-2022-09-30-003805-a</v>
      </c>
      <c r="B183" s="3" t="s">
        <v>246</v>
      </c>
      <c r="C183" s="3" t="s">
        <v>18</v>
      </c>
      <c r="D183" s="4">
        <v>44834</v>
      </c>
      <c r="E183" s="4">
        <v>44926</v>
      </c>
      <c r="F183" s="3" t="s">
        <v>12</v>
      </c>
      <c r="G183" s="3" t="s">
        <v>13</v>
      </c>
      <c r="H183" s="3" t="s">
        <v>14</v>
      </c>
      <c r="I183" s="3" t="s">
        <v>93</v>
      </c>
      <c r="J183" s="3" t="s">
        <v>94</v>
      </c>
      <c r="K183" s="5">
        <v>664</v>
      </c>
      <c r="L183" s="5">
        <v>664</v>
      </c>
    </row>
    <row r="184" spans="1:12" ht="47.25" x14ac:dyDescent="0.25">
      <c r="A184" s="2" t="str">
        <f>HYPERLINK("http://prozorro.gov.ua/tender/UA-2022-09-30-003856-a/","UA-2022-09-30-003856-a")</f>
        <v>UA-2022-09-30-003856-a</v>
      </c>
      <c r="B184" s="3" t="s">
        <v>246</v>
      </c>
      <c r="C184" s="3" t="s">
        <v>18</v>
      </c>
      <c r="D184" s="4">
        <v>44834</v>
      </c>
      <c r="E184" s="4">
        <v>44926</v>
      </c>
      <c r="F184" s="3" t="s">
        <v>12</v>
      </c>
      <c r="G184" s="3" t="s">
        <v>13</v>
      </c>
      <c r="H184" s="3" t="s">
        <v>14</v>
      </c>
      <c r="I184" s="3" t="s">
        <v>93</v>
      </c>
      <c r="J184" s="3" t="s">
        <v>94</v>
      </c>
      <c r="K184" s="5">
        <v>72</v>
      </c>
      <c r="L184" s="5">
        <v>72</v>
      </c>
    </row>
    <row r="185" spans="1:12" ht="47.25" x14ac:dyDescent="0.25">
      <c r="A185" s="2" t="str">
        <f>HYPERLINK("http://prozorro.gov.ua/tender/UA-2022-10-04-001460-a/","UA-2022-10-04-001460-a")</f>
        <v>UA-2022-10-04-001460-a</v>
      </c>
      <c r="B185" s="3" t="s">
        <v>247</v>
      </c>
      <c r="C185" s="3" t="s">
        <v>18</v>
      </c>
      <c r="D185" s="4">
        <v>44838</v>
      </c>
      <c r="E185" s="4">
        <v>44926</v>
      </c>
      <c r="F185" s="3" t="s">
        <v>12</v>
      </c>
      <c r="G185" s="3" t="s">
        <v>13</v>
      </c>
      <c r="H185" s="3" t="s">
        <v>14</v>
      </c>
      <c r="I185" s="3" t="s">
        <v>93</v>
      </c>
      <c r="J185" s="3" t="s">
        <v>94</v>
      </c>
      <c r="K185" s="5">
        <v>3261.5</v>
      </c>
      <c r="L185" s="5">
        <v>3261.5</v>
      </c>
    </row>
    <row r="186" spans="1:12" ht="47.25" x14ac:dyDescent="0.25">
      <c r="A186" s="2" t="str">
        <f>HYPERLINK("http://prozorro.gov.ua/tender/UA-2022-10-04-004706-a/","UA-2022-10-04-004706-a")</f>
        <v>UA-2022-10-04-004706-a</v>
      </c>
      <c r="B186" s="3" t="s">
        <v>247</v>
      </c>
      <c r="C186" s="3" t="s">
        <v>18</v>
      </c>
      <c r="D186" s="4">
        <v>44838</v>
      </c>
      <c r="E186" s="4">
        <v>44926</v>
      </c>
      <c r="F186" s="3" t="s">
        <v>12</v>
      </c>
      <c r="G186" s="3" t="s">
        <v>13</v>
      </c>
      <c r="H186" s="3" t="s">
        <v>14</v>
      </c>
      <c r="I186" s="3" t="s">
        <v>93</v>
      </c>
      <c r="J186" s="3" t="s">
        <v>94</v>
      </c>
      <c r="K186" s="5">
        <v>136.5</v>
      </c>
      <c r="L186" s="5">
        <v>136.5</v>
      </c>
    </row>
    <row r="187" spans="1:12" ht="47.25" x14ac:dyDescent="0.25">
      <c r="A187" s="2" t="str">
        <f>HYPERLINK("http://prozorro.gov.ua/tender/UA-2022-10-04-005302-a/","UA-2022-10-04-005302-a")</f>
        <v>UA-2022-10-04-005302-a</v>
      </c>
      <c r="B187" s="3" t="s">
        <v>247</v>
      </c>
      <c r="C187" s="3" t="s">
        <v>18</v>
      </c>
      <c r="D187" s="4">
        <v>44838</v>
      </c>
      <c r="E187" s="4">
        <v>44926</v>
      </c>
      <c r="F187" s="3" t="s">
        <v>12</v>
      </c>
      <c r="G187" s="3" t="s">
        <v>13</v>
      </c>
      <c r="H187" s="3" t="s">
        <v>14</v>
      </c>
      <c r="I187" s="3" t="s">
        <v>93</v>
      </c>
      <c r="J187" s="3" t="s">
        <v>94</v>
      </c>
      <c r="K187" s="5">
        <v>1190</v>
      </c>
      <c r="L187" s="5">
        <v>1190</v>
      </c>
    </row>
    <row r="188" spans="1:12" ht="47.25" x14ac:dyDescent="0.25">
      <c r="A188" s="2" t="str">
        <f>HYPERLINK("http://prozorro.gov.ua/tender/UA-2022-10-04-005396-a/","UA-2022-10-04-005396-a")</f>
        <v>UA-2022-10-04-005396-a</v>
      </c>
      <c r="B188" s="3" t="s">
        <v>247</v>
      </c>
      <c r="C188" s="3" t="s">
        <v>18</v>
      </c>
      <c r="D188" s="4">
        <v>44838</v>
      </c>
      <c r="E188" s="4">
        <v>44926</v>
      </c>
      <c r="F188" s="3" t="s">
        <v>12</v>
      </c>
      <c r="G188" s="3" t="s">
        <v>13</v>
      </c>
      <c r="H188" s="3" t="s">
        <v>14</v>
      </c>
      <c r="I188" s="3" t="s">
        <v>93</v>
      </c>
      <c r="J188" s="3" t="s">
        <v>94</v>
      </c>
      <c r="K188" s="5">
        <v>420</v>
      </c>
      <c r="L188" s="5">
        <v>420</v>
      </c>
    </row>
    <row r="189" spans="1:12" ht="47.25" x14ac:dyDescent="0.25">
      <c r="A189" s="2" t="str">
        <f>HYPERLINK("http://prozorro.gov.ua/tender/UA-2022-10-04-006368-a/","UA-2022-10-04-006368-a")</f>
        <v>UA-2022-10-04-006368-a</v>
      </c>
      <c r="B189" s="3" t="s">
        <v>247</v>
      </c>
      <c r="C189" s="3" t="s">
        <v>18</v>
      </c>
      <c r="D189" s="4">
        <v>44838</v>
      </c>
      <c r="E189" s="4">
        <v>44926</v>
      </c>
      <c r="F189" s="3" t="s">
        <v>12</v>
      </c>
      <c r="G189" s="3" t="s">
        <v>13</v>
      </c>
      <c r="H189" s="3" t="s">
        <v>14</v>
      </c>
      <c r="I189" s="3" t="s">
        <v>93</v>
      </c>
      <c r="J189" s="3" t="s">
        <v>94</v>
      </c>
      <c r="K189" s="5">
        <v>129</v>
      </c>
      <c r="L189" s="5">
        <v>129</v>
      </c>
    </row>
    <row r="190" spans="1:12" ht="47.25" x14ac:dyDescent="0.25">
      <c r="A190" s="2" t="str">
        <f>HYPERLINK("http://prozorro.gov.ua/tender/UA-2022-10-04-006514-a/","UA-2022-10-04-006514-a")</f>
        <v>UA-2022-10-04-006514-a</v>
      </c>
      <c r="B190" s="3" t="s">
        <v>247</v>
      </c>
      <c r="C190" s="3" t="s">
        <v>18</v>
      </c>
      <c r="D190" s="4">
        <v>44838</v>
      </c>
      <c r="E190" s="4">
        <v>44926</v>
      </c>
      <c r="F190" s="3" t="s">
        <v>12</v>
      </c>
      <c r="G190" s="3" t="s">
        <v>13</v>
      </c>
      <c r="H190" s="3" t="s">
        <v>14</v>
      </c>
      <c r="I190" s="3" t="s">
        <v>93</v>
      </c>
      <c r="J190" s="3" t="s">
        <v>94</v>
      </c>
      <c r="K190" s="5">
        <v>330</v>
      </c>
      <c r="L190" s="5">
        <v>330</v>
      </c>
    </row>
    <row r="191" spans="1:12" ht="47.25" x14ac:dyDescent="0.25">
      <c r="A191" s="2" t="str">
        <f>HYPERLINK("http://prozorro.gov.ua/tender/UA-2022-10-06-007808-a/","UA-2022-10-06-007808-a")</f>
        <v>UA-2022-10-06-007808-a</v>
      </c>
      <c r="B191" s="3" t="s">
        <v>248</v>
      </c>
      <c r="C191" s="3" t="s">
        <v>18</v>
      </c>
      <c r="D191" s="4">
        <v>44840</v>
      </c>
      <c r="E191" s="4">
        <v>44926</v>
      </c>
      <c r="F191" s="3" t="s">
        <v>12</v>
      </c>
      <c r="G191" s="3" t="s">
        <v>13</v>
      </c>
      <c r="H191" s="3" t="s">
        <v>14</v>
      </c>
      <c r="I191" s="3" t="s">
        <v>84</v>
      </c>
      <c r="J191" s="3" t="s">
        <v>85</v>
      </c>
      <c r="K191" s="5">
        <v>9900</v>
      </c>
      <c r="L191" s="5">
        <v>9900</v>
      </c>
    </row>
    <row r="192" spans="1:12" ht="47.25" x14ac:dyDescent="0.25">
      <c r="A192" s="2" t="str">
        <f>HYPERLINK("http://prozorro.gov.ua/tender/UA-2022-10-24-003560-a/","UA-2022-10-24-003560-a")</f>
        <v>UA-2022-10-24-003560-a</v>
      </c>
      <c r="B192" s="3" t="s">
        <v>249</v>
      </c>
      <c r="C192" s="3" t="s">
        <v>18</v>
      </c>
      <c r="D192" s="4">
        <v>44858</v>
      </c>
      <c r="E192" s="4">
        <v>44926</v>
      </c>
      <c r="F192" s="3" t="s">
        <v>12</v>
      </c>
      <c r="G192" s="3" t="s">
        <v>13</v>
      </c>
      <c r="H192" s="3" t="s">
        <v>14</v>
      </c>
      <c r="I192" s="3" t="s">
        <v>250</v>
      </c>
      <c r="J192" s="3" t="s">
        <v>251</v>
      </c>
      <c r="K192" s="5">
        <v>8939.15</v>
      </c>
      <c r="L192" s="5">
        <v>8939.15</v>
      </c>
    </row>
    <row r="193" spans="1:12" ht="47.25" x14ac:dyDescent="0.25">
      <c r="A193" s="2" t="str">
        <f>HYPERLINK("http://prozorro.gov.ua/tender/UA-2022-10-25-005430-a/","UA-2022-10-25-005430-a")</f>
        <v>UA-2022-10-25-005430-a</v>
      </c>
      <c r="B193" s="3" t="s">
        <v>252</v>
      </c>
      <c r="C193" s="3" t="s">
        <v>18</v>
      </c>
      <c r="D193" s="4">
        <v>44859</v>
      </c>
      <c r="E193" s="4">
        <v>44926</v>
      </c>
      <c r="F193" s="3" t="s">
        <v>12</v>
      </c>
      <c r="G193" s="3" t="s">
        <v>13</v>
      </c>
      <c r="H193" s="3" t="s">
        <v>14</v>
      </c>
      <c r="I193" s="3" t="s">
        <v>253</v>
      </c>
      <c r="J193" s="3" t="s">
        <v>254</v>
      </c>
      <c r="K193" s="5">
        <v>5547.5</v>
      </c>
      <c r="L193" s="5">
        <v>5547.5</v>
      </c>
    </row>
    <row r="194" spans="1:12" ht="47.25" x14ac:dyDescent="0.25">
      <c r="A194" s="2" t="str">
        <f>HYPERLINK("http://prozorro.gov.ua/tender/UA-2022-10-25-006463-a/","UA-2022-10-25-006463-a")</f>
        <v>UA-2022-10-25-006463-a</v>
      </c>
      <c r="B194" s="3" t="s">
        <v>255</v>
      </c>
      <c r="C194" s="3" t="s">
        <v>18</v>
      </c>
      <c r="D194" s="4">
        <v>44859</v>
      </c>
      <c r="E194" s="4">
        <v>44926</v>
      </c>
      <c r="F194" s="3" t="s">
        <v>12</v>
      </c>
      <c r="G194" s="3" t="s">
        <v>13</v>
      </c>
      <c r="H194" s="3" t="s">
        <v>14</v>
      </c>
      <c r="I194" s="3" t="s">
        <v>256</v>
      </c>
      <c r="J194" s="3" t="s">
        <v>257</v>
      </c>
      <c r="K194" s="5">
        <v>10350</v>
      </c>
      <c r="L194" s="5">
        <v>10350</v>
      </c>
    </row>
    <row r="195" spans="1:12" ht="47.25" x14ac:dyDescent="0.25">
      <c r="A195" s="2" t="str">
        <f>HYPERLINK("http://prozorro.gov.ua/tender/UA-2022-10-27-008282-a/","UA-2022-10-27-008282-a")</f>
        <v>UA-2022-10-27-008282-a</v>
      </c>
      <c r="B195" s="3" t="s">
        <v>258</v>
      </c>
      <c r="C195" s="3" t="s">
        <v>18</v>
      </c>
      <c r="D195" s="4">
        <v>44861</v>
      </c>
      <c r="E195" s="4">
        <v>44926</v>
      </c>
      <c r="F195" s="3" t="s">
        <v>12</v>
      </c>
      <c r="G195" s="3" t="s">
        <v>13</v>
      </c>
      <c r="H195" s="3" t="s">
        <v>14</v>
      </c>
      <c r="I195" s="3" t="s">
        <v>84</v>
      </c>
      <c r="J195" s="3" t="s">
        <v>85</v>
      </c>
      <c r="K195" s="5">
        <v>10822</v>
      </c>
      <c r="L195" s="5">
        <v>10822</v>
      </c>
    </row>
    <row r="196" spans="1:12" ht="47.25" x14ac:dyDescent="0.25">
      <c r="A196" s="2" t="str">
        <f>HYPERLINK("http://prozorro.gov.ua/tender/UA-2022-10-27-008620-a/","UA-2022-10-27-008620-a")</f>
        <v>UA-2022-10-27-008620-a</v>
      </c>
      <c r="B196" s="3" t="s">
        <v>259</v>
      </c>
      <c r="C196" s="3" t="s">
        <v>18</v>
      </c>
      <c r="D196" s="4">
        <v>44861</v>
      </c>
      <c r="E196" s="4">
        <v>44926</v>
      </c>
      <c r="F196" s="3" t="s">
        <v>12</v>
      </c>
      <c r="G196" s="3" t="s">
        <v>13</v>
      </c>
      <c r="H196" s="3" t="s">
        <v>14</v>
      </c>
      <c r="I196" s="3" t="s">
        <v>84</v>
      </c>
      <c r="J196" s="3" t="s">
        <v>85</v>
      </c>
      <c r="K196" s="5">
        <v>4350</v>
      </c>
      <c r="L196" s="5">
        <v>4350</v>
      </c>
    </row>
    <row r="197" spans="1:12" ht="47.25" x14ac:dyDescent="0.25">
      <c r="A197" s="2" t="str">
        <f>HYPERLINK("http://prozorro.gov.ua/tender/UA-2022-10-27-008818-a/","UA-2022-10-27-008818-a")</f>
        <v>UA-2022-10-27-008818-a</v>
      </c>
      <c r="B197" s="3" t="s">
        <v>260</v>
      </c>
      <c r="C197" s="3" t="s">
        <v>18</v>
      </c>
      <c r="D197" s="4">
        <v>44861</v>
      </c>
      <c r="E197" s="4">
        <v>44926</v>
      </c>
      <c r="F197" s="3" t="s">
        <v>12</v>
      </c>
      <c r="G197" s="3" t="s">
        <v>13</v>
      </c>
      <c r="H197" s="3" t="s">
        <v>14</v>
      </c>
      <c r="I197" s="3" t="s">
        <v>84</v>
      </c>
      <c r="J197" s="3" t="s">
        <v>85</v>
      </c>
      <c r="K197" s="5">
        <v>2400</v>
      </c>
      <c r="L197" s="5">
        <v>2400</v>
      </c>
    </row>
    <row r="198" spans="1:12" ht="47.25" x14ac:dyDescent="0.25">
      <c r="A198" s="2" t="str">
        <f>HYPERLINK("http://prozorro.gov.ua/tender/UA-2022-10-31-002143-a/","UA-2022-10-31-002143-a")</f>
        <v>UA-2022-10-31-002143-a</v>
      </c>
      <c r="B198" s="3" t="s">
        <v>261</v>
      </c>
      <c r="C198" s="3" t="s">
        <v>18</v>
      </c>
      <c r="D198" s="4">
        <v>44865</v>
      </c>
      <c r="E198" s="4">
        <v>44926</v>
      </c>
      <c r="F198" s="3" t="s">
        <v>12</v>
      </c>
      <c r="G198" s="3" t="s">
        <v>13</v>
      </c>
      <c r="H198" s="3" t="s">
        <v>14</v>
      </c>
      <c r="I198" s="3" t="s">
        <v>262</v>
      </c>
      <c r="J198" s="3" t="s">
        <v>263</v>
      </c>
      <c r="K198" s="5">
        <v>1350</v>
      </c>
      <c r="L198" s="5">
        <v>1350</v>
      </c>
    </row>
    <row r="199" spans="1:12" ht="47.25" x14ac:dyDescent="0.25">
      <c r="A199" s="2" t="str">
        <f>HYPERLINK("http://prozorro.gov.ua/tender/UA-2022-10-31-002350-a/","UA-2022-10-31-002350-a")</f>
        <v>UA-2022-10-31-002350-a</v>
      </c>
      <c r="B199" s="3" t="s">
        <v>261</v>
      </c>
      <c r="C199" s="3" t="s">
        <v>18</v>
      </c>
      <c r="D199" s="4">
        <v>44865</v>
      </c>
      <c r="E199" s="4">
        <v>44926</v>
      </c>
      <c r="F199" s="3" t="s">
        <v>12</v>
      </c>
      <c r="G199" s="3" t="s">
        <v>13</v>
      </c>
      <c r="H199" s="3" t="s">
        <v>14</v>
      </c>
      <c r="I199" s="3" t="s">
        <v>262</v>
      </c>
      <c r="J199" s="3" t="s">
        <v>263</v>
      </c>
      <c r="K199" s="5">
        <v>390</v>
      </c>
      <c r="L199" s="5">
        <v>390</v>
      </c>
    </row>
    <row r="200" spans="1:12" ht="47.25" x14ac:dyDescent="0.25">
      <c r="A200" s="2" t="str">
        <f>HYPERLINK("http://prozorro.gov.ua/tender/UA-2022-10-31-002599-a/","UA-2022-10-31-002599-a")</f>
        <v>UA-2022-10-31-002599-a</v>
      </c>
      <c r="B200" s="3" t="s">
        <v>261</v>
      </c>
      <c r="C200" s="3" t="s">
        <v>18</v>
      </c>
      <c r="D200" s="4">
        <v>44865</v>
      </c>
      <c r="E200" s="4">
        <v>44926</v>
      </c>
      <c r="F200" s="3" t="s">
        <v>12</v>
      </c>
      <c r="G200" s="3" t="s">
        <v>13</v>
      </c>
      <c r="H200" s="3" t="s">
        <v>14</v>
      </c>
      <c r="I200" s="3" t="s">
        <v>262</v>
      </c>
      <c r="J200" s="3" t="s">
        <v>263</v>
      </c>
      <c r="K200" s="5">
        <v>552</v>
      </c>
      <c r="L200" s="5">
        <v>552</v>
      </c>
    </row>
    <row r="201" spans="1:12" ht="47.25" x14ac:dyDescent="0.25">
      <c r="A201" s="2" t="str">
        <f>HYPERLINK("http://prozorro.gov.ua/tender/UA-2022-10-31-002778-a/","UA-2022-10-31-002778-a")</f>
        <v>UA-2022-10-31-002778-a</v>
      </c>
      <c r="B201" s="3" t="s">
        <v>261</v>
      </c>
      <c r="C201" s="3" t="s">
        <v>18</v>
      </c>
      <c r="D201" s="4">
        <v>44865</v>
      </c>
      <c r="E201" s="4">
        <v>44926</v>
      </c>
      <c r="F201" s="3" t="s">
        <v>12</v>
      </c>
      <c r="G201" s="3" t="s">
        <v>13</v>
      </c>
      <c r="H201" s="3" t="s">
        <v>14</v>
      </c>
      <c r="I201" s="3" t="s">
        <v>262</v>
      </c>
      <c r="J201" s="3" t="s">
        <v>263</v>
      </c>
      <c r="K201" s="5">
        <v>100.4</v>
      </c>
      <c r="L201" s="5">
        <v>100.4</v>
      </c>
    </row>
    <row r="202" spans="1:12" ht="47.25" x14ac:dyDescent="0.25">
      <c r="A202" s="2" t="str">
        <f>HYPERLINK("http://prozorro.gov.ua/tender/UA-2022-10-31-002907-a/","UA-2022-10-31-002907-a")</f>
        <v>UA-2022-10-31-002907-a</v>
      </c>
      <c r="B202" s="3" t="s">
        <v>261</v>
      </c>
      <c r="C202" s="3" t="s">
        <v>18</v>
      </c>
      <c r="D202" s="4">
        <v>44865</v>
      </c>
      <c r="E202" s="4">
        <v>44926</v>
      </c>
      <c r="F202" s="3" t="s">
        <v>12</v>
      </c>
      <c r="G202" s="3" t="s">
        <v>13</v>
      </c>
      <c r="H202" s="3" t="s">
        <v>14</v>
      </c>
      <c r="I202" s="3" t="s">
        <v>262</v>
      </c>
      <c r="J202" s="3" t="s">
        <v>263</v>
      </c>
      <c r="K202" s="5">
        <v>252</v>
      </c>
      <c r="L202" s="5">
        <v>252</v>
      </c>
    </row>
    <row r="203" spans="1:12" ht="47.25" x14ac:dyDescent="0.25">
      <c r="A203" s="2" t="str">
        <f>HYPERLINK("http://prozorro.gov.ua/tender/UA-2022-10-31-003072-a/","UA-2022-10-31-003072-a")</f>
        <v>UA-2022-10-31-003072-a</v>
      </c>
      <c r="B203" s="3" t="s">
        <v>261</v>
      </c>
      <c r="C203" s="3" t="s">
        <v>18</v>
      </c>
      <c r="D203" s="4">
        <v>44865</v>
      </c>
      <c r="E203" s="4">
        <v>44926</v>
      </c>
      <c r="F203" s="3" t="s">
        <v>12</v>
      </c>
      <c r="G203" s="3" t="s">
        <v>13</v>
      </c>
      <c r="H203" s="3" t="s">
        <v>14</v>
      </c>
      <c r="I203" s="3" t="s">
        <v>262</v>
      </c>
      <c r="J203" s="3" t="s">
        <v>263</v>
      </c>
      <c r="K203" s="5">
        <v>340</v>
      </c>
      <c r="L203" s="5">
        <v>340</v>
      </c>
    </row>
    <row r="204" spans="1:12" ht="47.25" x14ac:dyDescent="0.25">
      <c r="A204" s="2" t="str">
        <f>HYPERLINK("http://prozorro.gov.ua/tender/UA-2022-10-31-003235-a/","UA-2022-10-31-003235-a")</f>
        <v>UA-2022-10-31-003235-a</v>
      </c>
      <c r="B204" s="3" t="s">
        <v>261</v>
      </c>
      <c r="C204" s="3" t="s">
        <v>18</v>
      </c>
      <c r="D204" s="4">
        <v>44865</v>
      </c>
      <c r="E204" s="4">
        <v>44926</v>
      </c>
      <c r="F204" s="3" t="s">
        <v>12</v>
      </c>
      <c r="G204" s="3" t="s">
        <v>13</v>
      </c>
      <c r="H204" s="3" t="s">
        <v>14</v>
      </c>
      <c r="I204" s="3" t="s">
        <v>262</v>
      </c>
      <c r="J204" s="3" t="s">
        <v>263</v>
      </c>
      <c r="K204" s="5">
        <v>520</v>
      </c>
      <c r="L204" s="5">
        <v>520</v>
      </c>
    </row>
    <row r="205" spans="1:12" ht="47.25" x14ac:dyDescent="0.25">
      <c r="A205" s="2" t="str">
        <f>HYPERLINK("http://prozorro.gov.ua/tender/UA-2022-10-31-003334-a/","UA-2022-10-31-003334-a")</f>
        <v>UA-2022-10-31-003334-a</v>
      </c>
      <c r="B205" s="3" t="s">
        <v>261</v>
      </c>
      <c r="C205" s="3" t="s">
        <v>18</v>
      </c>
      <c r="D205" s="4">
        <v>44865</v>
      </c>
      <c r="E205" s="4">
        <v>44926</v>
      </c>
      <c r="F205" s="3" t="s">
        <v>12</v>
      </c>
      <c r="G205" s="3" t="s">
        <v>13</v>
      </c>
      <c r="H205" s="3" t="s">
        <v>14</v>
      </c>
      <c r="I205" s="3" t="s">
        <v>262</v>
      </c>
      <c r="J205" s="3" t="s">
        <v>263</v>
      </c>
      <c r="K205" s="5">
        <v>8</v>
      </c>
      <c r="L205" s="5">
        <v>8</v>
      </c>
    </row>
    <row r="206" spans="1:12" ht="47.25" x14ac:dyDescent="0.25">
      <c r="A206" s="2" t="str">
        <f>HYPERLINK("http://prozorro.gov.ua/tender/UA-2022-11-01-005318-a/","UA-2022-11-01-005318-a")</f>
        <v>UA-2022-11-01-005318-a</v>
      </c>
      <c r="B206" s="3" t="s">
        <v>264</v>
      </c>
      <c r="C206" s="3" t="s">
        <v>18</v>
      </c>
      <c r="D206" s="4">
        <v>44866</v>
      </c>
      <c r="E206" s="4">
        <v>44926</v>
      </c>
      <c r="F206" s="3" t="s">
        <v>12</v>
      </c>
      <c r="G206" s="3" t="s">
        <v>13</v>
      </c>
      <c r="H206" s="3" t="s">
        <v>14</v>
      </c>
      <c r="I206" s="3" t="s">
        <v>265</v>
      </c>
      <c r="J206" s="3" t="s">
        <v>266</v>
      </c>
      <c r="K206" s="5">
        <v>3800</v>
      </c>
      <c r="L206" s="5">
        <v>3800</v>
      </c>
    </row>
    <row r="207" spans="1:12" ht="47.25" x14ac:dyDescent="0.25">
      <c r="A207" s="2" t="str">
        <f>HYPERLINK("http://prozorro.gov.ua/tender/UA-2022-11-07-007260-a/","UA-2022-11-07-007260-a")</f>
        <v>UA-2022-11-07-007260-a</v>
      </c>
      <c r="B207" s="3" t="s">
        <v>267</v>
      </c>
      <c r="C207" s="3" t="s">
        <v>18</v>
      </c>
      <c r="D207" s="4">
        <v>44872</v>
      </c>
      <c r="E207" s="4">
        <v>44926</v>
      </c>
      <c r="F207" s="3" t="s">
        <v>12</v>
      </c>
      <c r="G207" s="3" t="s">
        <v>13</v>
      </c>
      <c r="H207" s="3" t="s">
        <v>14</v>
      </c>
      <c r="I207" s="3" t="s">
        <v>256</v>
      </c>
      <c r="J207" s="3" t="s">
        <v>257</v>
      </c>
      <c r="K207" s="5">
        <v>30000</v>
      </c>
      <c r="L207" s="5">
        <v>30000</v>
      </c>
    </row>
    <row r="208" spans="1:12" ht="47.25" x14ac:dyDescent="0.25">
      <c r="A208" s="2" t="str">
        <f>HYPERLINK("http://prozorro.gov.ua/tender/UA-2022-11-15-004471-a/","UA-2022-11-15-004471-a")</f>
        <v>UA-2022-11-15-004471-a</v>
      </c>
      <c r="B208" s="3" t="s">
        <v>268</v>
      </c>
      <c r="C208" s="3" t="s">
        <v>18</v>
      </c>
      <c r="D208" s="4">
        <v>44880</v>
      </c>
      <c r="E208" s="4">
        <v>44926</v>
      </c>
      <c r="F208" s="3" t="s">
        <v>12</v>
      </c>
      <c r="G208" s="3" t="s">
        <v>13</v>
      </c>
      <c r="H208" s="3" t="s">
        <v>14</v>
      </c>
      <c r="I208" s="3" t="s">
        <v>269</v>
      </c>
      <c r="J208" s="3" t="s">
        <v>270</v>
      </c>
      <c r="K208" s="5">
        <v>19920</v>
      </c>
      <c r="L208" s="5">
        <v>19920</v>
      </c>
    </row>
    <row r="209" spans="1:12" ht="47.25" x14ac:dyDescent="0.25">
      <c r="A209" s="2" t="str">
        <f>HYPERLINK("http://prozorro.gov.ua/tender/UA-2022-11-21-009790-a/","UA-2022-11-21-009790-a")</f>
        <v>UA-2022-11-21-009790-a</v>
      </c>
      <c r="B209" s="3" t="s">
        <v>271</v>
      </c>
      <c r="C209" s="3" t="s">
        <v>18</v>
      </c>
      <c r="D209" s="4">
        <v>44886</v>
      </c>
      <c r="E209" s="4">
        <v>44926</v>
      </c>
      <c r="F209" s="3" t="s">
        <v>12</v>
      </c>
      <c r="G209" s="3" t="s">
        <v>13</v>
      </c>
      <c r="H209" s="3" t="s">
        <v>14</v>
      </c>
      <c r="I209" s="3" t="s">
        <v>272</v>
      </c>
      <c r="J209" s="3" t="s">
        <v>273</v>
      </c>
      <c r="K209" s="5">
        <v>99960</v>
      </c>
      <c r="L209" s="5">
        <v>99960</v>
      </c>
    </row>
    <row r="210" spans="1:12" ht="47.25" x14ac:dyDescent="0.25">
      <c r="A210" s="2" t="str">
        <f>HYPERLINK("http://prozorro.gov.ua/tender/UA-2022-12-06-008648-a/","UA-2022-12-06-008648-a")</f>
        <v>UA-2022-12-06-008648-a</v>
      </c>
      <c r="B210" s="3" t="s">
        <v>274</v>
      </c>
      <c r="C210" s="3" t="s">
        <v>18</v>
      </c>
      <c r="D210" s="4">
        <v>44901</v>
      </c>
      <c r="E210" s="4">
        <v>44926</v>
      </c>
      <c r="F210" s="3" t="s">
        <v>12</v>
      </c>
      <c r="G210" s="3" t="s">
        <v>13</v>
      </c>
      <c r="H210" s="3" t="s">
        <v>14</v>
      </c>
      <c r="I210" s="3" t="s">
        <v>168</v>
      </c>
      <c r="J210" s="3" t="s">
        <v>169</v>
      </c>
      <c r="K210" s="5">
        <v>15980</v>
      </c>
      <c r="L210" s="5">
        <v>15980</v>
      </c>
    </row>
    <row r="211" spans="1:12" ht="47.25" x14ac:dyDescent="0.25">
      <c r="A211" s="2" t="str">
        <f>HYPERLINK("http://prozorro.gov.ua/tender/UA-2022-12-07-009327-a/","UA-2022-12-07-009327-a")</f>
        <v>UA-2022-12-07-009327-a</v>
      </c>
      <c r="B211" s="3" t="s">
        <v>275</v>
      </c>
      <c r="C211" s="3" t="s">
        <v>18</v>
      </c>
      <c r="D211" s="4">
        <v>44902</v>
      </c>
      <c r="E211" s="4">
        <v>44926</v>
      </c>
      <c r="F211" s="3" t="s">
        <v>12</v>
      </c>
      <c r="G211" s="3" t="s">
        <v>13</v>
      </c>
      <c r="H211" s="3" t="s">
        <v>14</v>
      </c>
      <c r="I211" s="3" t="s">
        <v>276</v>
      </c>
      <c r="J211" s="3" t="s">
        <v>277</v>
      </c>
      <c r="K211" s="5">
        <v>3745</v>
      </c>
      <c r="L211" s="5">
        <v>3745</v>
      </c>
    </row>
    <row r="212" spans="1:12" ht="47.25" x14ac:dyDescent="0.25">
      <c r="A212" s="2" t="str">
        <f>HYPERLINK("http://prozorro.gov.ua/tender/UA-2022-12-07-010481-a/","UA-2022-12-07-010481-a")</f>
        <v>UA-2022-12-07-010481-a</v>
      </c>
      <c r="B212" s="3" t="s">
        <v>278</v>
      </c>
      <c r="C212" s="3" t="s">
        <v>18</v>
      </c>
      <c r="D212" s="4">
        <v>44902</v>
      </c>
      <c r="E212" s="4">
        <v>44926</v>
      </c>
      <c r="F212" s="3" t="s">
        <v>12</v>
      </c>
      <c r="G212" s="3" t="s">
        <v>13</v>
      </c>
      <c r="H212" s="3" t="s">
        <v>14</v>
      </c>
      <c r="I212" s="3" t="s">
        <v>129</v>
      </c>
      <c r="J212" s="3" t="s">
        <v>130</v>
      </c>
      <c r="K212" s="5">
        <v>5395</v>
      </c>
      <c r="L212" s="5">
        <v>5395</v>
      </c>
    </row>
    <row r="213" spans="1:12" ht="47.25" x14ac:dyDescent="0.25">
      <c r="A213" s="2" t="str">
        <f>HYPERLINK("http://prozorro.gov.ua/tender/UA-2022-12-07-011220-a/","UA-2022-12-07-011220-a")</f>
        <v>UA-2022-12-07-011220-a</v>
      </c>
      <c r="B213" s="3" t="s">
        <v>278</v>
      </c>
      <c r="C213" s="3" t="s">
        <v>18</v>
      </c>
      <c r="D213" s="4">
        <v>44902</v>
      </c>
      <c r="E213" s="4">
        <v>44926</v>
      </c>
      <c r="F213" s="3" t="s">
        <v>12</v>
      </c>
      <c r="G213" s="3" t="s">
        <v>13</v>
      </c>
      <c r="H213" s="3" t="s">
        <v>14</v>
      </c>
      <c r="I213" s="3" t="s">
        <v>129</v>
      </c>
      <c r="J213" s="3" t="s">
        <v>130</v>
      </c>
      <c r="K213" s="5">
        <v>220</v>
      </c>
      <c r="L213" s="5">
        <v>220</v>
      </c>
    </row>
    <row r="214" spans="1:12" ht="47.25" x14ac:dyDescent="0.25">
      <c r="A214" s="2" t="str">
        <f>HYPERLINK("http://prozorro.gov.ua/tender/UA-2022-12-07-012589-a/","UA-2022-12-07-012589-a")</f>
        <v>UA-2022-12-07-012589-a</v>
      </c>
      <c r="B214" s="3" t="s">
        <v>279</v>
      </c>
      <c r="C214" s="3" t="s">
        <v>18</v>
      </c>
      <c r="D214" s="4">
        <v>44902</v>
      </c>
      <c r="E214" s="4">
        <v>44926</v>
      </c>
      <c r="F214" s="3" t="s">
        <v>12</v>
      </c>
      <c r="G214" s="3" t="s">
        <v>13</v>
      </c>
      <c r="H214" s="3" t="s">
        <v>14</v>
      </c>
      <c r="I214" s="3" t="s">
        <v>40</v>
      </c>
      <c r="J214" s="3" t="s">
        <v>41</v>
      </c>
      <c r="K214" s="5">
        <v>1001.6</v>
      </c>
      <c r="L214" s="5">
        <v>1001.6</v>
      </c>
    </row>
    <row r="215" spans="1:12" ht="47.25" x14ac:dyDescent="0.25">
      <c r="A215" s="2" t="str">
        <f>HYPERLINK("http://prozorro.gov.ua/tender/UA-2022-12-14-001736-a/","UA-2022-12-14-001736-a")</f>
        <v>UA-2022-12-14-001736-a</v>
      </c>
      <c r="B215" s="3" t="s">
        <v>280</v>
      </c>
      <c r="C215" s="3" t="s">
        <v>18</v>
      </c>
      <c r="D215" s="4">
        <v>44909</v>
      </c>
      <c r="E215" s="4">
        <v>44926</v>
      </c>
      <c r="F215" s="3" t="s">
        <v>12</v>
      </c>
      <c r="G215" s="3" t="s">
        <v>13</v>
      </c>
      <c r="H215" s="3" t="s">
        <v>14</v>
      </c>
      <c r="I215" s="3" t="s">
        <v>84</v>
      </c>
      <c r="J215" s="3" t="s">
        <v>85</v>
      </c>
      <c r="K215" s="5">
        <v>11650</v>
      </c>
      <c r="L215" s="5">
        <v>11650</v>
      </c>
    </row>
    <row r="216" spans="1:12" ht="47.25" x14ac:dyDescent="0.25">
      <c r="A216" s="2" t="str">
        <f>HYPERLINK("http://prozorro.gov.ua/tender/UA-2022-12-14-002337-a/","UA-2022-12-14-002337-a")</f>
        <v>UA-2022-12-14-002337-a</v>
      </c>
      <c r="B216" s="3" t="s">
        <v>281</v>
      </c>
      <c r="C216" s="3" t="s">
        <v>18</v>
      </c>
      <c r="D216" s="4">
        <v>44909</v>
      </c>
      <c r="E216" s="4">
        <v>44926</v>
      </c>
      <c r="F216" s="3" t="s">
        <v>12</v>
      </c>
      <c r="G216" s="3" t="s">
        <v>13</v>
      </c>
      <c r="H216" s="3" t="s">
        <v>14</v>
      </c>
      <c r="I216" s="3" t="s">
        <v>84</v>
      </c>
      <c r="J216" s="3" t="s">
        <v>85</v>
      </c>
      <c r="K216" s="5">
        <v>900</v>
      </c>
      <c r="L216" s="5">
        <v>900</v>
      </c>
    </row>
    <row r="217" spans="1:12" ht="47.25" x14ac:dyDescent="0.25">
      <c r="A217" s="2" t="str">
        <f>HYPERLINK("http://prozorro.gov.ua/tender/UA-2022-12-14-003143-a/","UA-2022-12-14-003143-a")</f>
        <v>UA-2022-12-14-003143-a</v>
      </c>
      <c r="B217" s="3" t="s">
        <v>282</v>
      </c>
      <c r="C217" s="3" t="s">
        <v>18</v>
      </c>
      <c r="D217" s="4">
        <v>44909</v>
      </c>
      <c r="E217" s="4">
        <v>44926</v>
      </c>
      <c r="F217" s="3" t="s">
        <v>12</v>
      </c>
      <c r="G217" s="3" t="s">
        <v>13</v>
      </c>
      <c r="H217" s="3" t="s">
        <v>14</v>
      </c>
      <c r="I217" s="3" t="s">
        <v>84</v>
      </c>
      <c r="J217" s="3" t="s">
        <v>85</v>
      </c>
      <c r="K217" s="5">
        <v>2737</v>
      </c>
      <c r="L217" s="5">
        <v>2737</v>
      </c>
    </row>
    <row r="218" spans="1:12" ht="47.25" x14ac:dyDescent="0.25">
      <c r="A218" s="2" t="str">
        <f>HYPERLINK("http://prozorro.gov.ua/tender/UA-2022-12-14-003552-a/","UA-2022-12-14-003552-a")</f>
        <v>UA-2022-12-14-003552-a</v>
      </c>
      <c r="B218" s="3" t="s">
        <v>283</v>
      </c>
      <c r="C218" s="3" t="s">
        <v>18</v>
      </c>
      <c r="D218" s="4">
        <v>44909</v>
      </c>
      <c r="E218" s="4">
        <v>44926</v>
      </c>
      <c r="F218" s="3" t="s">
        <v>12</v>
      </c>
      <c r="G218" s="3" t="s">
        <v>13</v>
      </c>
      <c r="H218" s="3" t="s">
        <v>14</v>
      </c>
      <c r="I218" s="3" t="s">
        <v>84</v>
      </c>
      <c r="J218" s="3" t="s">
        <v>85</v>
      </c>
      <c r="K218" s="5">
        <v>1600</v>
      </c>
      <c r="L218" s="5">
        <v>1600</v>
      </c>
    </row>
    <row r="219" spans="1:12" ht="47.25" x14ac:dyDescent="0.25">
      <c r="A219" s="2" t="str">
        <f>HYPERLINK("http://prozorro.gov.ua/tender/UA-2022-12-14-004595-a/","UA-2022-12-14-004595-a")</f>
        <v>UA-2022-12-14-004595-a</v>
      </c>
      <c r="B219" s="3" t="s">
        <v>284</v>
      </c>
      <c r="C219" s="3" t="s">
        <v>18</v>
      </c>
      <c r="D219" s="4">
        <v>44909</v>
      </c>
      <c r="E219" s="4">
        <v>44926</v>
      </c>
      <c r="F219" s="3" t="s">
        <v>12</v>
      </c>
      <c r="G219" s="3" t="s">
        <v>13</v>
      </c>
      <c r="H219" s="3" t="s">
        <v>14</v>
      </c>
      <c r="I219" s="3" t="s">
        <v>84</v>
      </c>
      <c r="J219" s="3" t="s">
        <v>85</v>
      </c>
      <c r="K219" s="5">
        <v>7750</v>
      </c>
      <c r="L219" s="5">
        <v>7750</v>
      </c>
    </row>
    <row r="220" spans="1:12" ht="47.25" x14ac:dyDescent="0.25">
      <c r="A220" s="2" t="str">
        <f>HYPERLINK("http://prozorro.gov.ua/tender/UA-2022-12-15-011501-a/","UA-2022-12-15-011501-a")</f>
        <v>UA-2022-12-15-011501-a</v>
      </c>
      <c r="B220" s="3" t="s">
        <v>285</v>
      </c>
      <c r="C220" s="3" t="s">
        <v>18</v>
      </c>
      <c r="D220" s="4">
        <v>44910</v>
      </c>
      <c r="E220" s="4">
        <v>44926</v>
      </c>
      <c r="F220" s="3" t="s">
        <v>12</v>
      </c>
      <c r="G220" s="3" t="s">
        <v>13</v>
      </c>
      <c r="H220" s="3" t="s">
        <v>14</v>
      </c>
      <c r="I220" s="3" t="s">
        <v>138</v>
      </c>
      <c r="J220" s="3" t="s">
        <v>139</v>
      </c>
      <c r="K220" s="5">
        <v>10500</v>
      </c>
      <c r="L220" s="5">
        <v>10500</v>
      </c>
    </row>
    <row r="221" spans="1:12" ht="47.25" x14ac:dyDescent="0.25">
      <c r="A221" s="2" t="str">
        <f>HYPERLINK("http://prozorro.gov.ua/tender/UA-2022-12-19-003642-a/","UA-2022-12-19-003642-a")</f>
        <v>UA-2022-12-19-003642-a</v>
      </c>
      <c r="B221" s="3" t="s">
        <v>286</v>
      </c>
      <c r="C221" s="3" t="s">
        <v>18</v>
      </c>
      <c r="D221" s="4">
        <v>44914</v>
      </c>
      <c r="E221" s="4">
        <v>44926</v>
      </c>
      <c r="F221" s="3" t="s">
        <v>12</v>
      </c>
      <c r="G221" s="3" t="s">
        <v>13</v>
      </c>
      <c r="H221" s="3" t="s">
        <v>14</v>
      </c>
      <c r="I221" s="3" t="s">
        <v>40</v>
      </c>
      <c r="J221" s="3" t="s">
        <v>41</v>
      </c>
      <c r="K221" s="5">
        <v>787.63</v>
      </c>
      <c r="L221" s="5">
        <v>787.63</v>
      </c>
    </row>
    <row r="222" spans="1:12" ht="47.25" x14ac:dyDescent="0.25">
      <c r="A222" s="2" t="str">
        <f>HYPERLINK("http://prozorro.gov.ua/tender/UA-2022-12-21-010812-a/","UA-2022-12-21-010812-a")</f>
        <v>UA-2022-12-21-010812-a</v>
      </c>
      <c r="B222" s="3" t="s">
        <v>287</v>
      </c>
      <c r="C222" s="3" t="s">
        <v>18</v>
      </c>
      <c r="D222" s="4">
        <v>44916</v>
      </c>
      <c r="E222" s="4">
        <v>44926</v>
      </c>
      <c r="F222" s="3" t="s">
        <v>12</v>
      </c>
      <c r="G222" s="3" t="s">
        <v>13</v>
      </c>
      <c r="H222" s="3" t="s">
        <v>14</v>
      </c>
      <c r="I222" s="3" t="s">
        <v>34</v>
      </c>
      <c r="J222" s="3" t="s">
        <v>35</v>
      </c>
      <c r="K222" s="5">
        <v>1200</v>
      </c>
      <c r="L222" s="5">
        <v>1200</v>
      </c>
    </row>
    <row r="223" spans="1:12" ht="47.25" x14ac:dyDescent="0.25">
      <c r="A223" s="2" t="str">
        <f>HYPERLINK("http://prozorro.gov.ua/tender/UA-2022-12-22-000801-a/","UA-2022-12-22-000801-a")</f>
        <v>UA-2022-12-22-000801-a</v>
      </c>
      <c r="B223" s="3" t="s">
        <v>288</v>
      </c>
      <c r="C223" s="3" t="s">
        <v>18</v>
      </c>
      <c r="D223" s="4">
        <v>44917</v>
      </c>
      <c r="E223" s="4">
        <v>44926</v>
      </c>
      <c r="F223" s="3" t="s">
        <v>12</v>
      </c>
      <c r="G223" s="3" t="s">
        <v>13</v>
      </c>
      <c r="H223" s="3" t="s">
        <v>14</v>
      </c>
      <c r="I223" s="3" t="s">
        <v>289</v>
      </c>
      <c r="J223" s="3" t="s">
        <v>290</v>
      </c>
      <c r="K223" s="5">
        <v>2790</v>
      </c>
      <c r="L223" s="5">
        <v>2790</v>
      </c>
    </row>
    <row r="224" spans="1:12" ht="47.25" x14ac:dyDescent="0.25">
      <c r="A224" s="2" t="str">
        <f>HYPERLINK("http://prozorro.gov.ua/tender/UA-2022-12-22-013299-a/","UA-2022-12-22-013299-a")</f>
        <v>UA-2022-12-22-013299-a</v>
      </c>
      <c r="B224" s="3" t="s">
        <v>291</v>
      </c>
      <c r="C224" s="3" t="s">
        <v>18</v>
      </c>
      <c r="D224" s="4">
        <v>44917</v>
      </c>
      <c r="E224" s="4">
        <v>44926</v>
      </c>
      <c r="F224" s="3" t="s">
        <v>12</v>
      </c>
      <c r="G224" s="3" t="s">
        <v>13</v>
      </c>
      <c r="H224" s="3" t="s">
        <v>14</v>
      </c>
      <c r="I224" s="3" t="s">
        <v>292</v>
      </c>
      <c r="J224" s="3" t="s">
        <v>293</v>
      </c>
      <c r="K224" s="5">
        <v>1250</v>
      </c>
      <c r="L224" s="5">
        <v>1250</v>
      </c>
    </row>
    <row r="225" spans="1:12" ht="47.25" x14ac:dyDescent="0.25">
      <c r="A225" s="2" t="str">
        <f>HYPERLINK("http://prozorro.gov.ua/tender/UA-2022-12-22-015832-a/","UA-2022-12-22-015832-a")</f>
        <v>UA-2022-12-22-015832-a</v>
      </c>
      <c r="B225" s="3" t="s">
        <v>294</v>
      </c>
      <c r="C225" s="3" t="s">
        <v>18</v>
      </c>
      <c r="D225" s="4">
        <v>44917</v>
      </c>
      <c r="E225" s="4">
        <v>44926</v>
      </c>
      <c r="F225" s="3" t="s">
        <v>12</v>
      </c>
      <c r="G225" s="3" t="s">
        <v>13</v>
      </c>
      <c r="H225" s="3" t="s">
        <v>14</v>
      </c>
      <c r="I225" s="3" t="s">
        <v>90</v>
      </c>
      <c r="J225" s="3" t="s">
        <v>91</v>
      </c>
      <c r="K225" s="5">
        <v>1104.5999999999999</v>
      </c>
      <c r="L225" s="5">
        <v>1104.5999999999999</v>
      </c>
    </row>
    <row r="226" spans="1:12" ht="47.25" x14ac:dyDescent="0.25">
      <c r="A226" s="2" t="str">
        <f>HYPERLINK("http://prozorro.gov.ua/tender/UA-2022-12-23-008911-a/","UA-2022-12-23-008911-a")</f>
        <v>UA-2022-12-23-008911-a</v>
      </c>
      <c r="B226" s="3" t="s">
        <v>295</v>
      </c>
      <c r="C226" s="3" t="s">
        <v>18</v>
      </c>
      <c r="D226" s="4">
        <v>44918</v>
      </c>
      <c r="E226" s="4">
        <v>44926</v>
      </c>
      <c r="F226" s="3" t="s">
        <v>12</v>
      </c>
      <c r="G226" s="3" t="s">
        <v>13</v>
      </c>
      <c r="H226" s="3" t="s">
        <v>14</v>
      </c>
      <c r="I226" s="3" t="s">
        <v>90</v>
      </c>
      <c r="J226" s="3" t="s">
        <v>91</v>
      </c>
      <c r="K226" s="5">
        <v>1518</v>
      </c>
      <c r="L226" s="5">
        <v>1518</v>
      </c>
    </row>
    <row r="227" spans="1:12" ht="47.25" x14ac:dyDescent="0.25">
      <c r="A227" s="2" t="str">
        <f>HYPERLINK("http://prozorro.gov.ua/tender/UA-2022-12-26-004584-a/","UA-2022-12-26-004584-a")</f>
        <v>UA-2022-12-26-004584-a</v>
      </c>
      <c r="B227" s="3" t="s">
        <v>296</v>
      </c>
      <c r="C227" s="3" t="s">
        <v>18</v>
      </c>
      <c r="D227" s="4">
        <v>44921</v>
      </c>
      <c r="E227" s="4">
        <v>44926</v>
      </c>
      <c r="F227" s="3" t="s">
        <v>12</v>
      </c>
      <c r="G227" s="3" t="s">
        <v>13</v>
      </c>
      <c r="H227" s="3" t="s">
        <v>14</v>
      </c>
      <c r="I227" s="3" t="s">
        <v>269</v>
      </c>
      <c r="J227" s="3" t="s">
        <v>270</v>
      </c>
      <c r="K227" s="5">
        <v>49950</v>
      </c>
      <c r="L227" s="5">
        <v>49950</v>
      </c>
    </row>
    <row r="228" spans="1:12" ht="47.25" x14ac:dyDescent="0.25">
      <c r="A228" s="2" t="str">
        <f>HYPERLINK("http://prozorro.gov.ua/tender/UA-2022-12-26-005039-a/","UA-2022-12-26-005039-a")</f>
        <v>UA-2022-12-26-005039-a</v>
      </c>
      <c r="B228" s="3" t="s">
        <v>297</v>
      </c>
      <c r="C228" s="3" t="s">
        <v>18</v>
      </c>
      <c r="D228" s="4">
        <v>44921</v>
      </c>
      <c r="E228" s="4">
        <v>44926</v>
      </c>
      <c r="F228" s="3" t="s">
        <v>12</v>
      </c>
      <c r="G228" s="3" t="s">
        <v>13</v>
      </c>
      <c r="H228" s="3" t="s">
        <v>14</v>
      </c>
      <c r="I228" s="3" t="s">
        <v>201</v>
      </c>
      <c r="J228" s="3" t="s">
        <v>202</v>
      </c>
      <c r="K228" s="5">
        <v>9559.98</v>
      </c>
      <c r="L228" s="5">
        <v>9559.98</v>
      </c>
    </row>
    <row r="229" spans="1:12" ht="47.25" x14ac:dyDescent="0.25">
      <c r="A229" s="2" t="str">
        <f>HYPERLINK("http://prozorro.gov.ua/tender/UA-2022-12-26-010599-a/","UA-2022-12-26-010599-a")</f>
        <v>UA-2022-12-26-010599-a</v>
      </c>
      <c r="B229" s="3" t="s">
        <v>298</v>
      </c>
      <c r="C229" s="3" t="s">
        <v>18</v>
      </c>
      <c r="D229" s="4">
        <v>44921</v>
      </c>
      <c r="E229" s="4">
        <v>44926</v>
      </c>
      <c r="F229" s="3" t="s">
        <v>12</v>
      </c>
      <c r="G229" s="3" t="s">
        <v>13</v>
      </c>
      <c r="H229" s="3" t="s">
        <v>14</v>
      </c>
      <c r="I229" s="3" t="s">
        <v>84</v>
      </c>
      <c r="J229" s="3" t="s">
        <v>85</v>
      </c>
      <c r="K229" s="5">
        <v>12000</v>
      </c>
      <c r="L229" s="5">
        <v>12000</v>
      </c>
    </row>
    <row r="230" spans="1:12" ht="47.25" x14ac:dyDescent="0.25">
      <c r="A230" s="2" t="str">
        <f>HYPERLINK("http://prozorro.gov.ua/tender/UA-2022-12-26-011327-a/","UA-2022-12-26-011327-a")</f>
        <v>UA-2022-12-26-011327-a</v>
      </c>
      <c r="B230" s="3" t="s">
        <v>298</v>
      </c>
      <c r="C230" s="3" t="s">
        <v>18</v>
      </c>
      <c r="D230" s="4">
        <v>44921</v>
      </c>
      <c r="E230" s="4">
        <v>44926</v>
      </c>
      <c r="F230" s="3" t="s">
        <v>12</v>
      </c>
      <c r="G230" s="3" t="s">
        <v>13</v>
      </c>
      <c r="H230" s="3" t="s">
        <v>14</v>
      </c>
      <c r="I230" s="3" t="s">
        <v>84</v>
      </c>
      <c r="J230" s="3" t="s">
        <v>85</v>
      </c>
      <c r="K230" s="5">
        <v>1011.37</v>
      </c>
      <c r="L230" s="5">
        <v>1011.37</v>
      </c>
    </row>
    <row r="231" spans="1:12" ht="47.25" x14ac:dyDescent="0.25">
      <c r="A231" s="2" t="str">
        <f>HYPERLINK("http://prozorro.gov.ua/tender/UA-2022-12-26-012033-a/","UA-2022-12-26-012033-a")</f>
        <v>UA-2022-12-26-012033-a</v>
      </c>
      <c r="B231" s="3" t="s">
        <v>299</v>
      </c>
      <c r="C231" s="3" t="s">
        <v>18</v>
      </c>
      <c r="D231" s="4">
        <v>44921</v>
      </c>
      <c r="E231" s="4">
        <v>44926</v>
      </c>
      <c r="F231" s="3" t="s">
        <v>12</v>
      </c>
      <c r="G231" s="3" t="s">
        <v>13</v>
      </c>
      <c r="H231" s="3" t="s">
        <v>14</v>
      </c>
      <c r="I231" s="3" t="s">
        <v>84</v>
      </c>
      <c r="J231" s="3" t="s">
        <v>85</v>
      </c>
      <c r="K231" s="5">
        <v>8211</v>
      </c>
      <c r="L231" s="5">
        <v>8211</v>
      </c>
    </row>
    <row r="232" spans="1:12" ht="47.25" x14ac:dyDescent="0.25">
      <c r="A232" s="2" t="str">
        <f>HYPERLINK("http://prozorro.gov.ua/tender/UA-2022-12-26-012550-a/","UA-2022-12-26-012550-a")</f>
        <v>UA-2022-12-26-012550-a</v>
      </c>
      <c r="B232" s="3" t="s">
        <v>300</v>
      </c>
      <c r="C232" s="3" t="s">
        <v>18</v>
      </c>
      <c r="D232" s="4">
        <v>44921</v>
      </c>
      <c r="E232" s="4">
        <v>44926</v>
      </c>
      <c r="F232" s="3" t="s">
        <v>12</v>
      </c>
      <c r="G232" s="3" t="s">
        <v>13</v>
      </c>
      <c r="H232" s="3" t="s">
        <v>14</v>
      </c>
      <c r="I232" s="3" t="s">
        <v>84</v>
      </c>
      <c r="J232" s="3" t="s">
        <v>85</v>
      </c>
      <c r="K232" s="5">
        <v>4000</v>
      </c>
      <c r="L232" s="5">
        <v>4000</v>
      </c>
    </row>
    <row r="233" spans="1:12" ht="47.25" x14ac:dyDescent="0.25">
      <c r="A233" s="2" t="str">
        <f>HYPERLINK("http://prozorro.gov.ua/tender/UA-2022-12-28-001686-a/","UA-2022-12-28-001686-a")</f>
        <v>UA-2022-12-28-001686-a</v>
      </c>
      <c r="B233" s="3" t="s">
        <v>301</v>
      </c>
      <c r="C233" s="3" t="s">
        <v>18</v>
      </c>
      <c r="D233" s="4">
        <v>44923</v>
      </c>
      <c r="E233" s="4">
        <v>44926</v>
      </c>
      <c r="F233" s="3" t="s">
        <v>12</v>
      </c>
      <c r="G233" s="3" t="s">
        <v>13</v>
      </c>
      <c r="H233" s="3" t="s">
        <v>14</v>
      </c>
      <c r="I233" s="3" t="s">
        <v>84</v>
      </c>
      <c r="J233" s="3" t="s">
        <v>85</v>
      </c>
      <c r="K233" s="5">
        <v>5250</v>
      </c>
      <c r="L233" s="5">
        <v>5250</v>
      </c>
    </row>
    <row r="234" spans="1:12" ht="47.25" x14ac:dyDescent="0.25">
      <c r="A234" s="2" t="str">
        <f>HYPERLINK("http://prozorro.gov.ua/tender/UA-2022-12-29-002618-a/","UA-2022-12-29-002618-a")</f>
        <v>UA-2022-12-29-002618-a</v>
      </c>
      <c r="B234" s="3" t="s">
        <v>302</v>
      </c>
      <c r="C234" s="3" t="s">
        <v>18</v>
      </c>
      <c r="D234" s="4">
        <v>44924</v>
      </c>
      <c r="E234" s="4">
        <v>44926</v>
      </c>
      <c r="F234" s="3" t="s">
        <v>12</v>
      </c>
      <c r="G234" s="3" t="s">
        <v>13</v>
      </c>
      <c r="H234" s="3" t="s">
        <v>14</v>
      </c>
      <c r="I234" s="3" t="s">
        <v>84</v>
      </c>
      <c r="J234" s="3" t="s">
        <v>85</v>
      </c>
      <c r="K234" s="5">
        <v>7000</v>
      </c>
      <c r="L234" s="5">
        <v>7000</v>
      </c>
    </row>
    <row r="235" spans="1:12" ht="47.25" x14ac:dyDescent="0.25">
      <c r="A235" s="2" t="str">
        <f>HYPERLINK("http://prozorro.gov.ua/tender/UA-2022-12-29-002364-a/","UA-2022-12-29-002364-a")</f>
        <v>UA-2022-12-29-002364-a</v>
      </c>
      <c r="B235" s="3" t="s">
        <v>303</v>
      </c>
      <c r="C235" s="3" t="s">
        <v>18</v>
      </c>
      <c r="D235" s="4">
        <v>44924</v>
      </c>
      <c r="E235" s="4">
        <v>44926</v>
      </c>
      <c r="F235" s="3" t="s">
        <v>12</v>
      </c>
      <c r="G235" s="3" t="s">
        <v>13</v>
      </c>
      <c r="H235" s="3" t="s">
        <v>14</v>
      </c>
      <c r="I235" s="3" t="s">
        <v>74</v>
      </c>
      <c r="J235" s="3" t="s">
        <v>75</v>
      </c>
      <c r="K235" s="5">
        <v>1700</v>
      </c>
      <c r="L235" s="5">
        <v>1700</v>
      </c>
    </row>
    <row r="236" spans="1:12" ht="47.25" x14ac:dyDescent="0.25">
      <c r="A236" s="2" t="str">
        <f>HYPERLINK("http://prozorro.gov.ua/tender/UA-2022-12-29-002955-a/","UA-2022-12-29-002955-a")</f>
        <v>UA-2022-12-29-002955-a</v>
      </c>
      <c r="B236" s="3" t="s">
        <v>304</v>
      </c>
      <c r="C236" s="3" t="s">
        <v>18</v>
      </c>
      <c r="D236" s="4">
        <v>44924</v>
      </c>
      <c r="E236" s="4">
        <v>44926</v>
      </c>
      <c r="F236" s="3" t="s">
        <v>12</v>
      </c>
      <c r="G236" s="3" t="s">
        <v>13</v>
      </c>
      <c r="H236" s="3" t="s">
        <v>14</v>
      </c>
      <c r="I236" s="3" t="s">
        <v>84</v>
      </c>
      <c r="J236" s="3" t="s">
        <v>85</v>
      </c>
      <c r="K236" s="5">
        <v>20000</v>
      </c>
      <c r="L236" s="5">
        <v>20000</v>
      </c>
    </row>
    <row r="237" spans="1:12" ht="47.25" x14ac:dyDescent="0.25">
      <c r="A237" s="2" t="str">
        <f>HYPERLINK("http://prozorro.gov.ua/tender/UA-2022-12-29-004906-a/","UA-2022-12-29-004906-a")</f>
        <v>UA-2022-12-29-004906-a</v>
      </c>
      <c r="B237" s="3" t="s">
        <v>304</v>
      </c>
      <c r="C237" s="3" t="s">
        <v>18</v>
      </c>
      <c r="D237" s="4">
        <v>44924</v>
      </c>
      <c r="E237" s="4">
        <v>44926</v>
      </c>
      <c r="F237" s="3" t="s">
        <v>12</v>
      </c>
      <c r="G237" s="3" t="s">
        <v>13</v>
      </c>
      <c r="H237" s="3" t="s">
        <v>14</v>
      </c>
      <c r="I237" s="3" t="s">
        <v>180</v>
      </c>
      <c r="J237" s="3" t="s">
        <v>181</v>
      </c>
      <c r="K237" s="5">
        <v>8400</v>
      </c>
      <c r="L237" s="5">
        <v>8400</v>
      </c>
    </row>
    <row r="238" spans="1:12" ht="47.25" x14ac:dyDescent="0.25">
      <c r="A238" s="2" t="str">
        <f>HYPERLINK("http://prozorro.gov.ua/tender/UA-2022-12-29-012180-a/","UA-2022-12-29-012180-a")</f>
        <v>UA-2022-12-29-012180-a</v>
      </c>
      <c r="B238" s="3" t="s">
        <v>305</v>
      </c>
      <c r="C238" s="3" t="s">
        <v>18</v>
      </c>
      <c r="D238" s="4">
        <v>44924</v>
      </c>
      <c r="E238" s="4">
        <v>44926</v>
      </c>
      <c r="F238" s="3" t="s">
        <v>12</v>
      </c>
      <c r="G238" s="3" t="s">
        <v>13</v>
      </c>
      <c r="H238" s="3" t="s">
        <v>14</v>
      </c>
      <c r="I238" s="3" t="s">
        <v>215</v>
      </c>
      <c r="J238" s="3" t="s">
        <v>216</v>
      </c>
      <c r="K238" s="5">
        <v>21750</v>
      </c>
      <c r="L238" s="5">
        <v>21750</v>
      </c>
    </row>
    <row r="239" spans="1:12" ht="47.25" x14ac:dyDescent="0.25">
      <c r="A239" s="2" t="str">
        <f>HYPERLINK("http://prozorro.gov.ua/tender/UA-2022-12-29-012374-a/","UA-2022-12-29-012374-a")</f>
        <v>UA-2022-12-29-012374-a</v>
      </c>
      <c r="B239" s="3" t="s">
        <v>305</v>
      </c>
      <c r="C239" s="3" t="s">
        <v>18</v>
      </c>
      <c r="D239" s="4">
        <v>44924</v>
      </c>
      <c r="E239" s="4">
        <v>44926</v>
      </c>
      <c r="F239" s="3" t="s">
        <v>12</v>
      </c>
      <c r="G239" s="3" t="s">
        <v>13</v>
      </c>
      <c r="H239" s="3" t="s">
        <v>14</v>
      </c>
      <c r="I239" s="3" t="s">
        <v>215</v>
      </c>
      <c r="J239" s="3" t="s">
        <v>216</v>
      </c>
      <c r="K239" s="5">
        <v>2200</v>
      </c>
      <c r="L239" s="5">
        <v>2200</v>
      </c>
    </row>
    <row r="240" spans="1:12" ht="47.25" x14ac:dyDescent="0.25">
      <c r="A240" s="2" t="str">
        <f>HYPERLINK("http://prozorro.gov.ua/tender/UA-2022-12-29-012451-a/","UA-2022-12-29-012451-a")</f>
        <v>UA-2022-12-29-012451-a</v>
      </c>
      <c r="B240" s="3" t="s">
        <v>306</v>
      </c>
      <c r="C240" s="3" t="s">
        <v>18</v>
      </c>
      <c r="D240" s="4">
        <v>44924</v>
      </c>
      <c r="E240" s="4">
        <v>44926</v>
      </c>
      <c r="F240" s="3" t="s">
        <v>12</v>
      </c>
      <c r="G240" s="3" t="s">
        <v>13</v>
      </c>
      <c r="H240" s="3" t="s">
        <v>14</v>
      </c>
      <c r="I240" s="3" t="s">
        <v>40</v>
      </c>
      <c r="J240" s="3" t="s">
        <v>41</v>
      </c>
      <c r="K240" s="5">
        <v>2003.2</v>
      </c>
      <c r="L240" s="5">
        <v>2003.2</v>
      </c>
    </row>
    <row r="241" spans="1:12" ht="47.25" x14ac:dyDescent="0.25">
      <c r="A241" s="2" t="str">
        <f>HYPERLINK("http://prozorro.gov.ua/tender/UA-2022-12-29-012536-a/","UA-2022-12-29-012536-a")</f>
        <v>UA-2022-12-29-012536-a</v>
      </c>
      <c r="B241" s="3" t="s">
        <v>307</v>
      </c>
      <c r="C241" s="3" t="s">
        <v>18</v>
      </c>
      <c r="D241" s="4">
        <v>44924</v>
      </c>
      <c r="E241" s="4">
        <v>44926</v>
      </c>
      <c r="F241" s="3" t="s">
        <v>12</v>
      </c>
      <c r="G241" s="3" t="s">
        <v>13</v>
      </c>
      <c r="H241" s="3" t="s">
        <v>14</v>
      </c>
      <c r="I241" s="3" t="s">
        <v>308</v>
      </c>
      <c r="J241" s="3" t="s">
        <v>309</v>
      </c>
      <c r="K241" s="5">
        <v>4704</v>
      </c>
      <c r="L241" s="5">
        <v>4704</v>
      </c>
    </row>
    <row r="242" spans="1:12" ht="47.25" x14ac:dyDescent="0.25">
      <c r="A242" s="2" t="str">
        <f>HYPERLINK("http://prozorro.gov.ua/tender/UA-2022-12-08-010041-a/","UA-2022-12-08-010041-a")</f>
        <v>UA-2022-12-08-010041-a</v>
      </c>
      <c r="B242" s="3" t="s">
        <v>310</v>
      </c>
      <c r="C242" s="3" t="s">
        <v>18</v>
      </c>
      <c r="D242" s="4">
        <v>44927</v>
      </c>
      <c r="E242" s="4">
        <v>45291</v>
      </c>
      <c r="F242" s="3" t="s">
        <v>12</v>
      </c>
      <c r="G242" s="3" t="s">
        <v>13</v>
      </c>
      <c r="H242" s="3" t="s">
        <v>14</v>
      </c>
      <c r="I242" s="3" t="s">
        <v>311</v>
      </c>
      <c r="J242" s="3" t="s">
        <v>312</v>
      </c>
      <c r="K242" s="5">
        <v>137313</v>
      </c>
      <c r="L242" s="5">
        <v>137313</v>
      </c>
    </row>
    <row r="243" spans="1:12" ht="47.25" x14ac:dyDescent="0.25">
      <c r="A243" s="2" t="str">
        <f>HYPERLINK("http://prozorro.gov.ua/tender/UA-2022-12-06-015089-a/","UA-2022-12-06-015089-a")</f>
        <v>UA-2022-12-06-015089-a</v>
      </c>
      <c r="B243" s="3" t="s">
        <v>313</v>
      </c>
      <c r="C243" s="3" t="s">
        <v>18</v>
      </c>
      <c r="D243" s="4">
        <v>44927</v>
      </c>
      <c r="E243" s="4">
        <v>45291</v>
      </c>
      <c r="F243" s="3" t="s">
        <v>12</v>
      </c>
      <c r="G243" s="3" t="s">
        <v>13</v>
      </c>
      <c r="H243" s="3" t="s">
        <v>14</v>
      </c>
      <c r="I243" s="3" t="s">
        <v>314</v>
      </c>
      <c r="J243" s="3" t="s">
        <v>315</v>
      </c>
      <c r="K243" s="5">
        <v>799380</v>
      </c>
      <c r="L243" s="5">
        <v>799380</v>
      </c>
    </row>
    <row r="244" spans="1:12" ht="47.25" x14ac:dyDescent="0.25">
      <c r="A244" s="2" t="str">
        <f>HYPERLINK("http://prozorro.gov.ua/tender/UA-2023-01-02-002667-a/","UA-2023-01-02-002667-a")</f>
        <v>UA-2023-01-02-002667-a</v>
      </c>
      <c r="B244" s="3" t="s">
        <v>316</v>
      </c>
      <c r="C244" s="3" t="s">
        <v>18</v>
      </c>
      <c r="D244" s="4">
        <v>44925</v>
      </c>
      <c r="E244" s="4">
        <v>44926</v>
      </c>
      <c r="F244" s="3" t="s">
        <v>12</v>
      </c>
      <c r="G244" s="3" t="s">
        <v>13</v>
      </c>
      <c r="H244" s="3" t="s">
        <v>14</v>
      </c>
      <c r="I244" s="3" t="s">
        <v>96</v>
      </c>
      <c r="J244" s="3" t="s">
        <v>97</v>
      </c>
      <c r="K244" s="5">
        <v>68447</v>
      </c>
      <c r="L244" s="5">
        <v>68447</v>
      </c>
    </row>
    <row r="245" spans="1:12" ht="15.75" x14ac:dyDescent="0.25">
      <c r="C245" s="3"/>
    </row>
    <row r="246" spans="1:12" ht="15.75" x14ac:dyDescent="0.25">
      <c r="C246" s="3"/>
    </row>
    <row r="247" spans="1:12" ht="15.75" x14ac:dyDescent="0.25">
      <c r="C247" s="3"/>
    </row>
    <row r="248" spans="1:12" ht="15.75" x14ac:dyDescent="0.25">
      <c r="C248" s="3"/>
    </row>
    <row r="249" spans="1:12" ht="15.75" x14ac:dyDescent="0.25">
      <c r="C249" s="3"/>
    </row>
    <row r="250" spans="1:12" ht="15.75" x14ac:dyDescent="0.25">
      <c r="C250" s="3"/>
    </row>
    <row r="251" spans="1:12" ht="15.75" x14ac:dyDescent="0.25">
      <c r="C251" s="3"/>
    </row>
  </sheetData>
  <autoFilter ref="A2:L2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2023-03-02T09:58:01Z</dcterms:created>
  <dcterms:modified xsi:type="dcterms:W3CDTF">2023-03-02T09:58:01Z</dcterms:modified>
</cp:coreProperties>
</file>