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Диск_Д\2026\"/>
    </mc:Choice>
  </mc:AlternateContent>
  <bookViews>
    <workbookView xWindow="0" yWindow="0" windowWidth="28800" windowHeight="12315"/>
  </bookViews>
  <sheets>
    <sheet name="Sheet" sheetId="1" r:id="rId1"/>
  </sheets>
  <externalReferences>
    <externalReference r:id="rId2"/>
  </externalReferences>
  <definedNames>
    <definedName name="_xlnm._FilterDatabase" localSheetId="0" hidden="1">Sheet!$A$4:$M$360</definedName>
  </definedNames>
  <calcPr calcId="152511"/>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alcChain>
</file>

<file path=xl/sharedStrings.xml><?xml version="1.0" encoding="utf-8"?>
<sst xmlns="http://schemas.openxmlformats.org/spreadsheetml/2006/main" count="2620" uniqueCount="867">
  <si>
    <t xml:space="preserve">	 ДК 021:2015 31680000-6 Електричне приладдя та супутні товари до електричного обладнання</t>
  </si>
  <si>
    <t xml:space="preserve">	 ДК 021:2015 44160000-9 Магістралі, трубопроводи, труби, обсадні труби, тюбінги та супутні вироби</t>
  </si>
  <si>
    <t xml:space="preserve"> "КРАЇНА ВІЛЬНИХ"</t>
  </si>
  <si>
    <t xml:space="preserve"> Надання послуг з пересилання відправлень "Укрпошта Експрес", "Укрпошта Стандарт", "Укрпошта Документи"</t>
  </si>
  <si>
    <t>01/97/64-2025</t>
  </si>
  <si>
    <t>01ПЗ/41-2025</t>
  </si>
  <si>
    <t>02010830</t>
  </si>
  <si>
    <t>02011031</t>
  </si>
  <si>
    <t>02ПЗ/40-2025</t>
  </si>
  <si>
    <t>030325-02/66-2025</t>
  </si>
  <si>
    <t>03140000-4 Продукція тваринництва та супутня продукція</t>
  </si>
  <si>
    <t xml:space="preserve">03210000-6 - Зернові культури та картопля (Картопля)  </t>
  </si>
  <si>
    <t>03210000-6 Зернові культури та картопля</t>
  </si>
  <si>
    <t>03220000-9 Овочі, фрукти та горіхи</t>
  </si>
  <si>
    <t>03568379</t>
  </si>
  <si>
    <t>05/25/15-2025</t>
  </si>
  <si>
    <t>05/43.25н/205-2025</t>
  </si>
  <si>
    <t>069-25/29-2025</t>
  </si>
  <si>
    <t>09/004-2025/37-2025</t>
  </si>
  <si>
    <t>09/01/25-06/33-2025</t>
  </si>
  <si>
    <t>09/05-2025/115-2025</t>
  </si>
  <si>
    <t>09130000-9 Нафта і дистиляти</t>
  </si>
  <si>
    <t>09210000-4 Мастильні засоби</t>
  </si>
  <si>
    <t>09320000-8 Пара, гаряча вода та пов’язана продукція</t>
  </si>
  <si>
    <t>096ф/83-2025</t>
  </si>
  <si>
    <t>1-2025</t>
  </si>
  <si>
    <t>1/232-2025</t>
  </si>
  <si>
    <t>10/03/73-2025</t>
  </si>
  <si>
    <t>10/25/81-2025</t>
  </si>
  <si>
    <t>100-2025</t>
  </si>
  <si>
    <t>1000540809/20-2025</t>
  </si>
  <si>
    <t>1000699711/169-2025</t>
  </si>
  <si>
    <t>102-2025</t>
  </si>
  <si>
    <t>103-2025</t>
  </si>
  <si>
    <t>104-2025</t>
  </si>
  <si>
    <t>106-2025</t>
  </si>
  <si>
    <t>108/181-2025</t>
  </si>
  <si>
    <t>109/180-2025</t>
  </si>
  <si>
    <t>109/182-2025</t>
  </si>
  <si>
    <t>11-2025</t>
  </si>
  <si>
    <t>110/179-2025</t>
  </si>
  <si>
    <t>110/183-2025</t>
  </si>
  <si>
    <t>111/183-2025</t>
  </si>
  <si>
    <t>113-2025</t>
  </si>
  <si>
    <t>114-2025</t>
  </si>
  <si>
    <t>114/238-2025</t>
  </si>
  <si>
    <t>117-2025</t>
  </si>
  <si>
    <t>118-2025</t>
  </si>
  <si>
    <t>119-2025</t>
  </si>
  <si>
    <t>12-2025</t>
  </si>
  <si>
    <t>12/10-2025</t>
  </si>
  <si>
    <t>120-2025</t>
  </si>
  <si>
    <t>123-2025</t>
  </si>
  <si>
    <t>124-2025</t>
  </si>
  <si>
    <t>125-2025</t>
  </si>
  <si>
    <t>125020/47-2025</t>
  </si>
  <si>
    <t>126-2025</t>
  </si>
  <si>
    <t>127-2025</t>
  </si>
  <si>
    <t>128-2025</t>
  </si>
  <si>
    <t>129-2025</t>
  </si>
  <si>
    <t>130-2025</t>
  </si>
  <si>
    <t>131-2025</t>
  </si>
  <si>
    <t>132-2025</t>
  </si>
  <si>
    <t>13302197</t>
  </si>
  <si>
    <t>134-2025</t>
  </si>
  <si>
    <t>136-2025</t>
  </si>
  <si>
    <t>138-2025</t>
  </si>
  <si>
    <t>139-2025</t>
  </si>
  <si>
    <t>14/01/39-2025</t>
  </si>
  <si>
    <t>142-2025</t>
  </si>
  <si>
    <t>143-2025</t>
  </si>
  <si>
    <t>144-2025</t>
  </si>
  <si>
    <t>14450000-0 Ропа</t>
  </si>
  <si>
    <t>145-2025</t>
  </si>
  <si>
    <t>148-2025</t>
  </si>
  <si>
    <t>148-205</t>
  </si>
  <si>
    <t>14810000-2 Абразивні вироби</t>
  </si>
  <si>
    <t>14830000-8 Скловолокно</t>
  </si>
  <si>
    <t>149-2025</t>
  </si>
  <si>
    <t>1496/В-25/199-2025</t>
  </si>
  <si>
    <t>150-2025</t>
  </si>
  <si>
    <t>151-2025</t>
  </si>
  <si>
    <t>15110000-2 М’ясо</t>
  </si>
  <si>
    <t>152-2025</t>
  </si>
  <si>
    <t>15220000-6 Риба, рибне філе та інше м’ясо риби морожені</t>
  </si>
  <si>
    <t>15330000-0 Оброблені фрукти та овочі</t>
  </si>
  <si>
    <t>155-2025</t>
  </si>
  <si>
    <t>15510000-6 Молоко та вершки</t>
  </si>
  <si>
    <t>15530000-2 Вершкове масло</t>
  </si>
  <si>
    <t>156-2025</t>
  </si>
  <si>
    <t>15610000-7 Продукція борошномельно-круп'яної промисловості</t>
  </si>
  <si>
    <t>15613300-1 Злакові продукти;15614000-5 Рис оброблений;15613380-5 Вівсяні пластівці;15612100-2 Борошно пшеничне</t>
  </si>
  <si>
    <t>157-2025</t>
  </si>
  <si>
    <t>158-2025</t>
  </si>
  <si>
    <t>15810000-9 Хлібопродукти, свіжовипечені хлібобулочні та кондитерські вироби</t>
  </si>
  <si>
    <t>15850000-1 Макаронні вироби</t>
  </si>
  <si>
    <t>15851100-9 Макаронні вироби сирі</t>
  </si>
  <si>
    <t>15860000-4 Кава, чай та супутня продукція</t>
  </si>
  <si>
    <t>15870000-7 Заправки та приправи</t>
  </si>
  <si>
    <t>159-2025</t>
  </si>
  <si>
    <t>16-2025</t>
  </si>
  <si>
    <t>16-КА/170-2025</t>
  </si>
  <si>
    <t>160-2025</t>
  </si>
  <si>
    <t>160111/35-2025</t>
  </si>
  <si>
    <t>161-2025</t>
  </si>
  <si>
    <t>162-2025</t>
  </si>
  <si>
    <t>164-2025</t>
  </si>
  <si>
    <t>165-2025</t>
  </si>
  <si>
    <t>166-2025</t>
  </si>
  <si>
    <t>167-2025</t>
  </si>
  <si>
    <t>1672/236-2025</t>
  </si>
  <si>
    <t>168-2025</t>
  </si>
  <si>
    <t>168/7/101-2025</t>
  </si>
  <si>
    <t>17-2025</t>
  </si>
  <si>
    <t>171-2025</t>
  </si>
  <si>
    <t>172-2025</t>
  </si>
  <si>
    <t>173-2025</t>
  </si>
  <si>
    <t>174-2025</t>
  </si>
  <si>
    <t>177-2025</t>
  </si>
  <si>
    <t>18-2025</t>
  </si>
  <si>
    <t>184-2025-РК</t>
  </si>
  <si>
    <t>18420000-9 Аксесуари для одягу</t>
  </si>
  <si>
    <t>187-2025</t>
  </si>
  <si>
    <t>189-2025</t>
  </si>
  <si>
    <t>190/212-2025</t>
  </si>
  <si>
    <t>191-2025</t>
  </si>
  <si>
    <t>192-2025</t>
  </si>
  <si>
    <t>194-2025</t>
  </si>
  <si>
    <t>19430000-9 Пряжа та текстильні нитки з натуральних волокон</t>
  </si>
  <si>
    <t>195-2025</t>
  </si>
  <si>
    <t>19520000-7 Пластмасові вироби</t>
  </si>
  <si>
    <t>19640000-4 Поліетиленові мішки та пакети для сміття</t>
  </si>
  <si>
    <t>1968/м/52-2025</t>
  </si>
  <si>
    <t>197-2025</t>
  </si>
  <si>
    <t>199-2025</t>
  </si>
  <si>
    <t>2-2025/36-2025</t>
  </si>
  <si>
    <t>20/01-2025/38-2025</t>
  </si>
  <si>
    <t>200-2025</t>
  </si>
  <si>
    <t>20097786</t>
  </si>
  <si>
    <t>201-2025</t>
  </si>
  <si>
    <t>20111463</t>
  </si>
  <si>
    <t>202-2025</t>
  </si>
  <si>
    <t>204-2025</t>
  </si>
  <si>
    <t>2047615934</t>
  </si>
  <si>
    <t>209-2025</t>
  </si>
  <si>
    <t>210-2025</t>
  </si>
  <si>
    <t>211-2025</t>
  </si>
  <si>
    <t>213-2025</t>
  </si>
  <si>
    <t>215/225-2025</t>
  </si>
  <si>
    <t>21560045</t>
  </si>
  <si>
    <t>216-2025</t>
  </si>
  <si>
    <t>21633086</t>
  </si>
  <si>
    <t>21729159</t>
  </si>
  <si>
    <t>2176108150</t>
  </si>
  <si>
    <t>219-2025</t>
  </si>
  <si>
    <t>220-2025</t>
  </si>
  <si>
    <t>2203313521</t>
  </si>
  <si>
    <t>221-2025</t>
  </si>
  <si>
    <t>222-2025</t>
  </si>
  <si>
    <t>223-2025</t>
  </si>
  <si>
    <t>2230307246</t>
  </si>
  <si>
    <t>224-2025</t>
  </si>
  <si>
    <t>2250407464</t>
  </si>
  <si>
    <t>226-2025</t>
  </si>
  <si>
    <t>22810000-1 Паперові чи картонні реєстраційні журнали</t>
  </si>
  <si>
    <t>22820000-4 Бланки</t>
  </si>
  <si>
    <t>22830000-7 Зошити</t>
  </si>
  <si>
    <t>22850000-3 Швидкозшивачі та супутнє приладдя</t>
  </si>
  <si>
    <t>22990000-6 Газетний папір, папір ручного виготовлення та інший некрейдований папір або картон для графічних цілей</t>
  </si>
  <si>
    <t>23-2025</t>
  </si>
  <si>
    <t>23/110-2025</t>
  </si>
  <si>
    <t>23101703</t>
  </si>
  <si>
    <t>2340105950</t>
  </si>
  <si>
    <t>2368604004</t>
  </si>
  <si>
    <t>237-2025</t>
  </si>
  <si>
    <t>2395616090</t>
  </si>
  <si>
    <t>2398902610</t>
  </si>
  <si>
    <t>24-2025</t>
  </si>
  <si>
    <t>24/135-2025</t>
  </si>
  <si>
    <t>241-2025</t>
  </si>
  <si>
    <t>242-2025</t>
  </si>
  <si>
    <t>24220000-2 Екстракти дубильних речовин, екстракти барвників, дубильні та фарбувальні речовини</t>
  </si>
  <si>
    <t>24450000-3 Агрохімічна продукція</t>
  </si>
  <si>
    <t>245-2025</t>
  </si>
  <si>
    <t>245-22025</t>
  </si>
  <si>
    <t>24910000-6 Клеї</t>
  </si>
  <si>
    <t>24930000-2 Фотохімікати</t>
  </si>
  <si>
    <t>25-2025</t>
  </si>
  <si>
    <t>25/041/45-2025</t>
  </si>
  <si>
    <t>25495511</t>
  </si>
  <si>
    <t>2576212994</t>
  </si>
  <si>
    <t>2589604138</t>
  </si>
  <si>
    <t>26-2025</t>
  </si>
  <si>
    <t>2670318946</t>
  </si>
  <si>
    <t>2670901791</t>
  </si>
  <si>
    <t>27-2025</t>
  </si>
  <si>
    <t>27/154-2025</t>
  </si>
  <si>
    <t>2713215864</t>
  </si>
  <si>
    <t>2713516636</t>
  </si>
  <si>
    <t>2718301218</t>
  </si>
  <si>
    <t>28-2025</t>
  </si>
  <si>
    <t>28/111-2025</t>
  </si>
  <si>
    <t>2810713760</t>
  </si>
  <si>
    <t>2857706056</t>
  </si>
  <si>
    <t>286/188-2025</t>
  </si>
  <si>
    <t>2864923545</t>
  </si>
  <si>
    <t>2882306412</t>
  </si>
  <si>
    <t>2892214634</t>
  </si>
  <si>
    <t>2928407211</t>
  </si>
  <si>
    <t>2970119011</t>
  </si>
  <si>
    <t>2977905718</t>
  </si>
  <si>
    <t xml:space="preserve">3-к пожежний кран – комплект (150х200) плівка;  3-к пожежний гідрант (250х300) свідовідбивний </t>
  </si>
  <si>
    <t>3001900560</t>
  </si>
  <si>
    <t>30190000-7 Офісне устаткування та приладдя різне</t>
  </si>
  <si>
    <t>3019104154</t>
  </si>
  <si>
    <t>3020110016</t>
  </si>
  <si>
    <t>30214/6-2025</t>
  </si>
  <si>
    <t>30230000-0 Комп’ютерне обладнання</t>
  </si>
  <si>
    <t>3033120440</t>
  </si>
  <si>
    <t>30605590</t>
  </si>
  <si>
    <t>3073511636</t>
  </si>
  <si>
    <t>3097216998</t>
  </si>
  <si>
    <t>3107200059</t>
  </si>
  <si>
    <t>3107414263</t>
  </si>
  <si>
    <t>31150000-2 Баласти для розрядних ламп чи трубок</t>
  </si>
  <si>
    <t>31210000-1 Електрична апаратура для комутування та захисту електричних кіл</t>
  </si>
  <si>
    <t>31220000-4 Елементи електричних схем</t>
  </si>
  <si>
    <t>3122106887</t>
  </si>
  <si>
    <t>31340000-1 Приладдя до ізольованих кабелів</t>
  </si>
  <si>
    <t>3138209959</t>
  </si>
  <si>
    <t>31440000-2 Акумуляторні батареї</t>
  </si>
  <si>
    <t>3148100020</t>
  </si>
  <si>
    <t>31510000-4 Електричні лампи розжарення</t>
  </si>
  <si>
    <t>31576283</t>
  </si>
  <si>
    <t>31650000-7 Ізоляційне приладдя</t>
  </si>
  <si>
    <t>31680000-6 Електричне приладдя та супутні товари до електричного обладнання</t>
  </si>
  <si>
    <t>3175309695</t>
  </si>
  <si>
    <t>32-2025</t>
  </si>
  <si>
    <t>320/343-2025</t>
  </si>
  <si>
    <t>320/344-2025</t>
  </si>
  <si>
    <t>3202200017</t>
  </si>
  <si>
    <t>3225/9-2025</t>
  </si>
  <si>
    <t>32257659</t>
  </si>
  <si>
    <t>32320000-2 Телевізійне й аудіовізуальне обладнання</t>
  </si>
  <si>
    <t>32350000-1 Частини до аудіо- та відеообладнання</t>
  </si>
  <si>
    <t>32420000-3 Мережеве обладнання</t>
  </si>
  <si>
    <t>3242806896</t>
  </si>
  <si>
    <t>3277407176</t>
  </si>
  <si>
    <t>32831275</t>
  </si>
  <si>
    <t>3301200180</t>
  </si>
  <si>
    <t>3307207495</t>
  </si>
  <si>
    <t>33121500-9 Електрокардіографи</t>
  </si>
  <si>
    <t>33140000-3 Медичні матеріали</t>
  </si>
  <si>
    <t>33140000-3 Медичні матеріали;33141300-3 Приладдя для венепункції та забору крові</t>
  </si>
  <si>
    <t>33190000-8 Медичне обладнання та вироби медичного призначення різні</t>
  </si>
  <si>
    <t>33190000-8 Медичне обладнання та вироби медичного призначення різні;33192500-7 Пробірки</t>
  </si>
  <si>
    <t>3325/8-2025</t>
  </si>
  <si>
    <t>33620000-2 Лікарські засоби для лікування захворювань крові, органів кровотворення та захворювань серцево-судинної системи</t>
  </si>
  <si>
    <t>33620000-2 Лікарські засоби для лікування захворювань крові, органів кровотворення та захворювань серцево-судинної системи;33670000-7 Лікарські засоби для лікування хвороб дихальної системи;33640000-8 Лікарські засоби для лікування захворювань сечостатевої системи та гормони;33690000-3 Лікарські засоби різні;33630000-5 Лікарські засоби для лікування дерматологічних захворювань та захворювань опорно-рухового апарату;33660000-4 Лікарські засоби для лікування хвороб нервової системи та захворювань органів чуття</t>
  </si>
  <si>
    <t>33620000-2 Лікарські засоби для лікування захворювань крові, органів кровотворення та захворювань серцево-судинної системи;33690000-3 Лікарські засоби різні;33660000-4 Лікарські засоби для лікування хвороб нервової системи та захворювань органів чуття;33630000-5 Лікарські засоби для лікування дерматологічних захворювань та захворювань опорно-рухового апарату</t>
  </si>
  <si>
    <t>33622000-6 Лікарські засоби для лікування захворювань серцево-судинної системи;33632000-9 Лікарські засоби для лікування захворювань опорно-рухового апарату;33660000-4 Лікарські засоби для лікування хвороб нервової системи та захворювань органів чуття;33690000-3 Лікарські засоби різні;33640000-8 Лікарські засоби для лікування захворювань сечостатевої системи та гормони;33612000-3 Лікарські засоби для лікування функціональних розладів шлунково-кишкового тракту;33630000-5 Лікарські засоби для лікування дерматологічних захворювань та захворювань опорно-рухового апарату;33620000-2 Лікарські засоби для лікування захворювань крові, органів кровотворення та захворювань серцево-судинної системи;33661000-1 Лікарські засоби для лікування хвороб нервової системи;33622100-7 Кардіологічні лікарські засоби;33610000-9 Лікарські засоби для лікування захворювань шлунково-кишкового тракту та розладів обміну речовин</t>
  </si>
  <si>
    <t>33630000-5 Лікарські засоби для лікування дерматологічних захворювань та захворювань опорно-рухового апарату;33690000-3 Лікарські засоби різні;33620000-2 Лікарські засоби для лікування захворювань крові, органів кровотворення та захворювань серцево-судинної системи</t>
  </si>
  <si>
    <t>33632100-0 Протизапальні та протиревматичні засоби;33661700-8 Інші лікарські засоби для лікування хвороб нервової системи;33632200-1 М’язові релаксанти;33632000-9 Лікарські засоби для лікування захворювань опорно-рухового апарату;33661500-6 Психолептичні засоби;33622100-7 Кардіологічні лікарські засоби;33631000-2 Лікарські засоби для лікування дерматологічних захворювань;33661000-1 Лікарські засоби для лікування хвороб нервової системи;33661300-4 Протиепілептичні засоби</t>
  </si>
  <si>
    <t>33649363</t>
  </si>
  <si>
    <t>33690000-3 Лікарські засоби різні</t>
  </si>
  <si>
    <t>33696200-7 Реактиви для аналізів крові;33696500-0 Лабораторні реактиви;33696700-2 Реактиви для аналізів сечі;33696000-5 Реактиви та контрастні речовини</t>
  </si>
  <si>
    <t>33696500-0 Лабораторні реактиви;33690000-3 Лікарські засоби різні</t>
  </si>
  <si>
    <t>33710000-0 Парфуми, засоби гігієни та презервативи</t>
  </si>
  <si>
    <t>33760000-5 Туалетний папір, носові хустинки, рушники для рук і серветки</t>
  </si>
  <si>
    <t>33790000-4 Скляний посуд лабораторного, санітарно-гігієнічного чи фармацевтичного призначення</t>
  </si>
  <si>
    <t>34-2025</t>
  </si>
  <si>
    <t>3425/7-2025</t>
  </si>
  <si>
    <t>3432511395</t>
  </si>
  <si>
    <t>34330000-9 Запасні частини до вантажних транспортних засобів, фургонів та легкових автомобілів</t>
  </si>
  <si>
    <t>34432418</t>
  </si>
  <si>
    <t>34849153</t>
  </si>
  <si>
    <t>34910000-9 Гужові чи ручні вози, інші транспортні засоби з немеханічним приводом, багажні вози та різні запасні частини</t>
  </si>
  <si>
    <t>350/46-2025</t>
  </si>
  <si>
    <t>35110000-8 Протипожежне, рятувальне та захисне обладнання</t>
  </si>
  <si>
    <t>3511605247</t>
  </si>
  <si>
    <t>3527310323</t>
  </si>
  <si>
    <t>3545602744</t>
  </si>
  <si>
    <t>36052СТП</t>
  </si>
  <si>
    <t>36157713</t>
  </si>
  <si>
    <t>36410686</t>
  </si>
  <si>
    <t>36858311</t>
  </si>
  <si>
    <t>37596682</t>
  </si>
  <si>
    <t>37642136</t>
  </si>
  <si>
    <t>37710504</t>
  </si>
  <si>
    <t>38012384</t>
  </si>
  <si>
    <t>38074325</t>
  </si>
  <si>
    <t>3811908793</t>
  </si>
  <si>
    <t>38330000-7 Ручні прилади для вимірювання відстаней</t>
  </si>
  <si>
    <t>38432000-2 Аналізатори</t>
  </si>
  <si>
    <t>38512294</t>
  </si>
  <si>
    <t>38585776</t>
  </si>
  <si>
    <t>38929750</t>
  </si>
  <si>
    <t>3896/105-2025</t>
  </si>
  <si>
    <t>3898707988</t>
  </si>
  <si>
    <t>39110000-6 Сидіння, стільці та супутні вироби і частини до них</t>
  </si>
  <si>
    <t>39120000-9 Столи, серванти, письмові столи та книжкові шафи</t>
  </si>
  <si>
    <t>39130000-2 Офісні меблі</t>
  </si>
  <si>
    <t>39130000-2 Офісні меблі (Поличка під папери 1200х350х390) ; 39130000-2 Офісні меблі (Шафа під папери 650х400х2600)</t>
  </si>
  <si>
    <t>39140000-5 Меблі для дому</t>
  </si>
  <si>
    <t>39140000-5 Меблі для дому (Шафа під одежу 600х600х2600)</t>
  </si>
  <si>
    <t>39150000-8 Меблі та приспособи різні</t>
  </si>
  <si>
    <t>39220000-0 Кухонне приладдя, товари для дому та господарства і приладдя для закладів громадського харчування</t>
  </si>
  <si>
    <t>39260000-2 Секційні лотки та канцелярське приладдя</t>
  </si>
  <si>
    <t>39330000-4 Дезінфекційне обладнання</t>
  </si>
  <si>
    <t>39520000-3 Готові текстильні вироби</t>
  </si>
  <si>
    <t>39540000-9 Вироби різні з канату, мотузки, шпагату та сітки</t>
  </si>
  <si>
    <t>39542670</t>
  </si>
  <si>
    <t>39710000-2 Електричні побутові прилади</t>
  </si>
  <si>
    <t>39830000-9 Продукція для чищення</t>
  </si>
  <si>
    <t>4/116-2025</t>
  </si>
  <si>
    <t>4/68-2025</t>
  </si>
  <si>
    <t>40075815</t>
  </si>
  <si>
    <t>40081221</t>
  </si>
  <si>
    <t>40109131</t>
  </si>
  <si>
    <t>40150221</t>
  </si>
  <si>
    <t>40291102</t>
  </si>
  <si>
    <t>41095649</t>
  </si>
  <si>
    <t>41110000-3 Питна вода</t>
  </si>
  <si>
    <t>41149437</t>
  </si>
  <si>
    <t>41525350</t>
  </si>
  <si>
    <t>42-2025</t>
  </si>
  <si>
    <t>42013326</t>
  </si>
  <si>
    <t>42029247</t>
  </si>
  <si>
    <t>42120000-6 Насоси та компресори</t>
  </si>
  <si>
    <t>42130000-9 Арматура трубопровідна: крани, вентилі, клапани та подібні пристрої</t>
  </si>
  <si>
    <t>42770570</t>
  </si>
  <si>
    <t>42912330-4 Апарати для очищення води</t>
  </si>
  <si>
    <t>43092388</t>
  </si>
  <si>
    <t>43278880</t>
  </si>
  <si>
    <t>43594489</t>
  </si>
  <si>
    <t>43720206</t>
  </si>
  <si>
    <t>43808856</t>
  </si>
  <si>
    <t>43830000-0 Електричні інструменти</t>
  </si>
  <si>
    <t>44-2025</t>
  </si>
  <si>
    <t>44110000-4 Конструкційні матеріали</t>
  </si>
  <si>
    <t>44160000-9 Магістралі, трубопроводи, труби, обсадні труби, тюбінги та супутні вироби</t>
  </si>
  <si>
    <t>44170000-2 Плити, листи, стрічки та фольга, пов’язані з конструкційними матеріалами</t>
  </si>
  <si>
    <t>44190000-8 Конструкційні матеріали різні</t>
  </si>
  <si>
    <t>44210000-5 Конструкції та їх частини</t>
  </si>
  <si>
    <t>44220000-8 Столярні вироби</t>
  </si>
  <si>
    <t>44320000-9 Кабелі та супутня продукція</t>
  </si>
  <si>
    <t>44330000-2 Будівельні прути, стрижні, дроти та профілі</t>
  </si>
  <si>
    <t>44410000-7 Вироби для ванної кімнати та кухні</t>
  </si>
  <si>
    <t>44420000-0 Будівельні товари</t>
  </si>
  <si>
    <t>44467941</t>
  </si>
  <si>
    <t>44470226</t>
  </si>
  <si>
    <t>44480000-8 Протипожежне обладнання різне</t>
  </si>
  <si>
    <t>44510000-8 Знаряддя</t>
  </si>
  <si>
    <t>44520000-1 Замки, ключі та петлі</t>
  </si>
  <si>
    <t>44530000-4 Кріпильні деталі</t>
  </si>
  <si>
    <t>44540000-7 Ланцюги</t>
  </si>
  <si>
    <t>44610000-9 Цистерни, резервуари, контейнери та посудини високого тиску</t>
  </si>
  <si>
    <t>44710890</t>
  </si>
  <si>
    <t>44725954</t>
  </si>
  <si>
    <t>44810000-1 Фарби</t>
  </si>
  <si>
    <t>44830000-7 Мастики, шпаклівки, замазки та розчинники</t>
  </si>
  <si>
    <t>44838860</t>
  </si>
  <si>
    <t>44920000-5 Вапняк, гіпс і крейда</t>
  </si>
  <si>
    <t>45/69-2025</t>
  </si>
  <si>
    <t>45122822</t>
  </si>
  <si>
    <t>45420000-7 Столярні та теслярні роботи</t>
  </si>
  <si>
    <t>45705305</t>
  </si>
  <si>
    <t>46/72-2025</t>
  </si>
  <si>
    <t>47/71-2025</t>
  </si>
  <si>
    <t>48-2025</t>
  </si>
  <si>
    <t>48/70-2025</t>
  </si>
  <si>
    <t>48510000-6 Пакети комунікаційного програмного забезпечення</t>
  </si>
  <si>
    <t>48810000-9 Інформаційні системи</t>
  </si>
  <si>
    <t>49-2025</t>
  </si>
  <si>
    <t>50-2025</t>
  </si>
  <si>
    <t>50110000-9 Послуги з ремонту і технічного обслуговування мототранспортних засобів і супутнього обладнання</t>
  </si>
  <si>
    <t>50310000-1 Технічне обслуговування і ремонт офісної техніки</t>
  </si>
  <si>
    <t>50410000-2 Послуги з ремонту і технічного обслуговування вимірювальних, випробувальних і контрольних приладів</t>
  </si>
  <si>
    <t>50420000-5 Послуги з ремонту і технічного обслуговування медичного та хірургічного обладнання</t>
  </si>
  <si>
    <t>50610000-4 Послуги з ремонту і технічного обслуговування захисного обладнання</t>
  </si>
  <si>
    <t>50720000-8 Послуги з ремонту і технічного обслуговування систем центрального опалення</t>
  </si>
  <si>
    <t>50750000-7 Послуги з технічного обслуговування ліфтів</t>
  </si>
  <si>
    <t>51-2025</t>
  </si>
  <si>
    <t>53-2025</t>
  </si>
  <si>
    <t>53/2025/190-2025</t>
  </si>
  <si>
    <t>54-2025</t>
  </si>
  <si>
    <t>55-2025</t>
  </si>
  <si>
    <t>56-2025</t>
  </si>
  <si>
    <t>57-2025</t>
  </si>
  <si>
    <t>57/141-2025</t>
  </si>
  <si>
    <t>58-2024</t>
  </si>
  <si>
    <t>58/140-2025</t>
  </si>
  <si>
    <t>59-2025</t>
  </si>
  <si>
    <t>61-2025</t>
  </si>
  <si>
    <t>62-2025</t>
  </si>
  <si>
    <t>62-205</t>
  </si>
  <si>
    <t>62359/31-2025</t>
  </si>
  <si>
    <t>63-2025</t>
  </si>
  <si>
    <t>6369/146-2025</t>
  </si>
  <si>
    <t>64110000-0 Поштові послуги</t>
  </si>
  <si>
    <t>64210000-1 Послуги телефонного зв’язку та передачі даних</t>
  </si>
  <si>
    <t>65-2025</t>
  </si>
  <si>
    <t>65110000-7 Розподіл води</t>
  </si>
  <si>
    <t>65310000-9 Розподіл електричної енергії</t>
  </si>
  <si>
    <t>71240000-2 Архітектурні, інженерні та планувальні послуги</t>
  </si>
  <si>
    <t>71320000-7 Послуги з інженерного проектування</t>
  </si>
  <si>
    <t>71630000-3 Послуги з технічного огляду та випробовувань</t>
  </si>
  <si>
    <t>71900000-7 Лабораторні послуги</t>
  </si>
  <si>
    <t>72260000-5 "Послуги, пов’язані з програмним забезпеченням"-Послуги з адміністрування (обслуговування) програмного забезпечення</t>
  </si>
  <si>
    <t>72260000-5 Послуги, пов’язані з програмним забезпеченням</t>
  </si>
  <si>
    <t>72320000-4 Послуги, пов’язані з базами даних</t>
  </si>
  <si>
    <t>72410000-7 Послуги провайдерів</t>
  </si>
  <si>
    <t>74</t>
  </si>
  <si>
    <t>74-2025</t>
  </si>
  <si>
    <t>75-2025</t>
  </si>
  <si>
    <t>76-2025</t>
  </si>
  <si>
    <t>77-2025</t>
  </si>
  <si>
    <t>77210000-5 Лісозаготівельні послуги</t>
  </si>
  <si>
    <t>77310000-6 Послуги з озеленення територій та утримання зелених насаджень</t>
  </si>
  <si>
    <t>774/186-2025</t>
  </si>
  <si>
    <t>78-2025</t>
  </si>
  <si>
    <t>79-2025</t>
  </si>
  <si>
    <t>79110000-8 Послуги з юридичного консультування та юридичного представництва</t>
  </si>
  <si>
    <t>79410000-1 Консультаційні послуги з питань підприємницької діяльності та управління</t>
  </si>
  <si>
    <t>79630000-9 Кадрові послуги, крім розміщення персоналу та забезпечення персоналом</t>
  </si>
  <si>
    <t>79710000-4 Охоронні послуги</t>
  </si>
  <si>
    <t>80-2025</t>
  </si>
  <si>
    <t>80510000-2 Послуги з професійної підготовки спеціалістів</t>
  </si>
  <si>
    <t>80520000-5 Навчальні засоби</t>
  </si>
  <si>
    <t>80570000-0 Послуги з професійної підготовки у сфері підвищення кваліфікації</t>
  </si>
  <si>
    <t>82-2025</t>
  </si>
  <si>
    <t>82-25/14-2025</t>
  </si>
  <si>
    <t>85-2025</t>
  </si>
  <si>
    <t>85110000-3 Послуги лікувальних закладів та супутні послуги</t>
  </si>
  <si>
    <t>85120000-6 Лікарська практика та супутні послуги</t>
  </si>
  <si>
    <t>85140000-2 Послуги у сфері охорони здоров’я різні</t>
  </si>
  <si>
    <t>86-2025</t>
  </si>
  <si>
    <t>87-2025</t>
  </si>
  <si>
    <t>88-2025</t>
  </si>
  <si>
    <t>89-2025</t>
  </si>
  <si>
    <t>90-2025</t>
  </si>
  <si>
    <t>90430000-0 Послуги з відведення стічних вод</t>
  </si>
  <si>
    <t>90510000-5 Утилізація/видалення сміття та поводження зі сміттям</t>
  </si>
  <si>
    <t>90520000-8 Послуги у сфері поводження з радіоактивними, токсичними, медичними та небезпечними відходами</t>
  </si>
  <si>
    <t>90923000-3 Послуги з дератизації;90921000-9 Послуги з дезінфікування та витравлювання</t>
  </si>
  <si>
    <t>91-2025</t>
  </si>
  <si>
    <t>92-2025</t>
  </si>
  <si>
    <t>93-2025</t>
  </si>
  <si>
    <t>94-2025</t>
  </si>
  <si>
    <t>95-2025</t>
  </si>
  <si>
    <t>96-2025</t>
  </si>
  <si>
    <t>98-2025</t>
  </si>
  <si>
    <t>99-2025</t>
  </si>
  <si>
    <t>WI-FI адаптер TP-link TL-WN722N</t>
  </si>
  <si>
    <t>WI-FI адаптер TP-link TL-WN725N</t>
  </si>
  <si>
    <t>ЄДРПОУ переможця</t>
  </si>
  <si>
    <t>Ідентифікатор закупівлі</t>
  </si>
  <si>
    <t>Інформаційно - консультаційні послуги</t>
  </si>
  <si>
    <t>Інформаційно - консультаційні посуги на тему: "Платні послуги. Що і як потрібно оформити у закладах охорони здоров'я"</t>
  </si>
  <si>
    <t>Інформаційно-технічне обслуговування та ремонт техніки (Номенклатурна позиція заДК 021-2015 (CPV)	 50310000-1 - Технічне обслуговування і ремонт офісної техніки)</t>
  </si>
  <si>
    <t>АДІС</t>
  </si>
  <si>
    <t>АКЦІОНЕРНЕ ТОВАРИСТВО "УКРАЇНСЬКА ЗАЛІЗНИЦЯ"</t>
  </si>
  <si>
    <t>АКЦІОНЕРНЕ ТОВАРИСТВО "УКРПОШТА"</t>
  </si>
  <si>
    <t>АНДРЕЄВ ВЛАДИСЛАВ АНАТОЛІЙОВИЧ</t>
  </si>
  <si>
    <t>Аккумулятор 60</t>
  </si>
  <si>
    <t xml:space="preserve">БІЛАН АНТОН БОРИСОВИЧ
</t>
  </si>
  <si>
    <t>БОНДАРЕНКО МАКСИМ МИКОЛАЙОВИЧ</t>
  </si>
  <si>
    <t>Бензин А-95 (Євро 5), АЗС 24/7, картка</t>
  </si>
  <si>
    <t>Бензин А-95 (Євро 5), АЗС ОККО, талон; Дизельне паливо (Євро 5), АЗС ОККО, талон</t>
  </si>
  <si>
    <t>Бинт 7*14 н/стер тип 17 (код УКЗЕД 3005 90 31 00, вітч.); Відріз марлевий 3м * 90см "УКРМЕДТЕКСТИЛЬ" ТМ "Білосніжка"(4820180240739); Лейкопластир Леофікс 10м x 2,5см еластичний хірургічний; Шприц ін’єкційний одноразового використання ТМ IGAR 5мл; DERMAGRIP ® Нітрилові Оглядові Рукавички Ультра Лонг, не містять латексу, неопудрені, нестерильні, з подовженим манжетом, розмір L; DERMAGRIP ® Нітрилові Оглядові Рукавички Ультра Лонг, не містять латексу, неопудрені, нестерильні, з подовженим манжетом, розмір М</t>
  </si>
  <si>
    <t>Бланк " Аналіз крові на вміст глюкози натщесерце"; Бланк "Аналіз сечі загальний"; Бланк "Біохімічний аналіз крові"</t>
  </si>
  <si>
    <t>Бутиль полікарбонатний</t>
  </si>
  <si>
    <t>ВІДОКРЕМЛЕНИЙ СТРУКТУРНИЙ ПІДРОЗДІЛ ЖМЕРИНСЬКИЙ РАЙОННИЙ ВІДДІЛ ДЕРЖАВНОЇ УСТАНОВИ "ВІННИЦЬКИЙ ОБЛАСНИЙ ЦЕНТР КОНТРОЛЮ ТА ПРОФІЛАКТИКИ ХВОРОБ МІНІСТЕРСТВА ОХОРОНИ ЗДОРОВ'Я УКРАЇНИ"</t>
  </si>
  <si>
    <t>ВІННИЦЬКЕ ОБЛАСНЕ СПЕЦІАЛІЗОВАНЕ РЕМОНТНО-БУДІВЕЛЬНЕ ПІДПРИЄМСТВО ПРОТИПОЖЕЖНИХ РОБІТ ДОБРОВІЛЬНОГО ПОЖЕЖНОГО ТОВАРИСТВА УКРАЇНИ</t>
  </si>
  <si>
    <t>ВИГОДНЕР МАРГАРИТА ОЛЕКСІЇВНА</t>
  </si>
  <si>
    <t>Вимірювання дози зовнішнього опромінення людини</t>
  </si>
  <si>
    <t>Вимірювання інтенсивності ультрафіолеотовоговипромінювання (УФ - випромінювання) - 35 установок, дослідження води питної, на бактеріологічні та санітарно-хімічні показники, змивів на БГКП та патогенний стафілокок, дез. розчинів на компамінацію, матеріал на стерильність повітря на бак.показники, харчові проби на бак.показники, дослідження калу на гемінолепідоз</t>
  </si>
  <si>
    <t>Вода питна артезіанська "Еко"</t>
  </si>
  <si>
    <t>Вуглетканеві електроди 100*100мм</t>
  </si>
  <si>
    <t>Відкриті торги з особливостями</t>
  </si>
  <si>
    <t>ГЕР МАРАТ ОЛЕКСАНДРОВИЧ</t>
  </si>
  <si>
    <t>ГЕХТ РОСТИСЛАВ БОРИСОВИЧ</t>
  </si>
  <si>
    <t>ГРАБІК МАКСИМ СЕРГІЙОВИЧ</t>
  </si>
  <si>
    <t>Газобетонний блок 60х20х10	 ДК 021:2015: 44190000-8 Конструкційні матеріали різні</t>
  </si>
  <si>
    <t>Гречка; пшоно; крупа ячмінна; крупа перлова; рис; пшенична крупа; вівсяні пластівці</t>
  </si>
  <si>
    <t>ДАЦКО ВОЛОДИМИР ОЛЕКСАНДРОВИЧ</t>
  </si>
  <si>
    <t>ДЕРЖАВНА УСТАНОВА "ВІННИЦЬКИЙ ОБЛАСНИЙ ЦЕНТР КОНТРОЛЮ ТА ПРОФІЛАКТИКИ ХВОРОБ МІНІСТЕРСТВА ОХОРОНИ ЗДОРОВ'Я УКРАЇНИ"</t>
  </si>
  <si>
    <t>ДК 021-2015 (CPV)	 03210000-6 - Зернові культури та картопля (Горох)</t>
  </si>
  <si>
    <t>ДК 021-2015: 15610000-7  Продукція борошномельно-круп’яної промисловості (Мука)</t>
  </si>
  <si>
    <t>ДК 021:2015 (CPV): 15330000-0 - Оброблені фрукти та овочі (Томатна паста)</t>
  </si>
  <si>
    <t>ДК 021:2015 –  15850000-1 - Макаронні вироби  (Макаронні вироби в асортименті)</t>
  </si>
  <si>
    <t>ДК 021:2015 – 15530000-2 - Вершкове масло ( Масло вершкове).</t>
  </si>
  <si>
    <t>ДК 021:2015- 15860000-4 Кава, чай та супутня продукція ( Чорний чай крупно листовий, заварний)</t>
  </si>
  <si>
    <t>ДК-021:2015- 03140000-4 - Продукція тваринництва та супутня продукція(Яйця курячі, свіжі, столові 1 категорії)</t>
  </si>
  <si>
    <t>Дата закінчення договору:</t>
  </si>
  <si>
    <t>Дата підписання договору:</t>
  </si>
  <si>
    <t>Демонтаж дверних полотен; демонтаж дверних коробок; демонтаж віконних створок; демонтаж віконних коробок; демонтаж підвіконня; демонтаж віконних зливів; встановлення алюмінієвих дверних блоків; встановлення метало пластикових вікон; встановлення підвіконня ПВХ; встановлення вінних зливів; встановлення москітних сіток</t>
  </si>
  <si>
    <t>Дератизація; Дезінсекція побутова; Дезінсекція протимушинна; Камерне знезараження речей постільних комплект (матрац,подушка,ковдра-10 кг=1 комплект)</t>
  </si>
  <si>
    <t>Доступ до поглибленого курсу "Професія. Підвищення кваліфікації осіб, відповідальних за ведення військового обліку" (із Сертифікатом держзразка)</t>
  </si>
  <si>
    <t>Доступ та використання онлайн-сервісів функціоналу медичної інформаційної системи</t>
  </si>
  <si>
    <t>Діагностикум  для виявлення антистрептолізину –О в сироватці крові людини (63271 – Бета гемолітична численна група стрептококів стрептолізин O, антитіла IVD (діагностика in vitro ), набір, аглютинація/ НК031:2024 W01021105-АНТИСТРЕПТОЛІЗИНУ О (ЯКІСНЕ ВИЗНАЧЕННЯ); Діагностикум  для виявлення С-реактивного білку в сироватці крові людини 200 визначень (63234 - C-реактивний білок (CRP) IVD (діагностика in vitro ), набір, аглютинація, експрес-аналіз/ НК031:2024 W01021109-С-РЕАКТИВНИЙ БІЛОК); Діагностикум  для виявлення ревматоїдного фактору в сироватці крові людини, 200 визначень (55112 - Ревматоїдний чинник IVD (діагностика in vitro ), набір, реакція аглютинації/ НК031:2024 W01021110-РЕВМАТОЇДНІ ФАКТОРИ); Діагностичні тест смужки призначені для напівкількісного аналізу сечі (визначення глюкози в сечі) (54518 Глюкоза сечі IVD (діагностика in vitro), набір, колориметрична тест-смужка, експрес-аналіз, НК031:2024 W0101060101 Тест-смужки для вимірювання рівня глюкози; Набір реактивів "Глюкоза -Ф" 200 (53301 - Глюкоза IVD, набір, ферментний спектрофотометричний аналіз, НК 031:2024: W01010213 – ГЛЮКОЗА); Тромбопластин (55982 Активований частковий тромбопластиновий час IVD (діагностика in vitro), реагенткод, НК 031: 2024 «Національна номенклатура медичних виробів» – W0103020102 – Активований частковий тромбопластиновий час; Діагностичний моноклональний реагент анти-А ( 52532 Анти-A групове типування еритроцитів IVD (діагностика in vitro), антитіла, НК 031:2024 W0103030199 – аналізи для визначення групи крові – інше; Діагностичний моноклональний реагент анти-D (52647 Анти-Rh(D) групове типування еритроцитів IVD (діагностика in vitro), антитіла, НК 031:2024 W0103030201 - резус D; Розчин ізотонічний 5-Diff , 20л (58237(Буферний розчинник зразків IVD (діагностика in vitro ), автоматичні/напівавтоматичні системи); Код НК 031:2024: W0103010105 ОЧИСТКИ/РОЗВЕДЕННЯ/ЛІЗУВАННЯ/ПРОТОЧНІ РІДИНИ); Ензиматичний очисник форте (63377 - Засіб для очищення приладу/ аналізатора IVD (діагностика in vitro), НК 031:2024: W0202020185 - Коагулометри – витратні матеріали); Реагент призначений для in vitro визначення активності альфа-амілази у сироватці і плазмі крові, а також сечі людини (59073 Амілаза, ізоферменти IVD (діагностика in vitro), набір, ферментний спектрофотометричний аналіз, НК 031:2024:W01010107 - АМІЛАЗА – ЗАГАЛЬНА); Реагент призначений для діагностики in vitro ALT (аланінаміно-трансферази) в сироватці крові та плазмі (52924 Аланінамінотрансфераза (ALT) IVD (діагностика in vitro), набір, спектрофотометричний аналіз, НК 031:2024:W01010103 – АЛАНІНАМІНОТРАНСФЕРАЗА); Реагенти призначені для кількісного in vitro визначення аспартатамінотрансферази (AСТ) у сироватці і плазмі крові людини. (52954 Загальна аспартатамінотрансфераза (AST) IVD (діагностика in vitro), набір, ферментний спектрофотометричний аналіз, НК 031:2024:W01010110 - АСПАРТАТАМІНОТРАНСФЕРАЗА); Реагент призначений для іn vitro визначення холестерину у сироватці і плазмі крові людини. (53359 Загальний холестерин IVD (діагностика in vitro), набір, ферментний спектрофотометричний аналіз, НК 031:2024:W01010205 – ХОЛЕСТЕРИН); ПРОМИВНИЙ РОЗЧИН є концентрованим розчином, який використовується під час роботи на автоматичних біохімічних аналізаторах (61331 Численні види бактерій, ізолят культури, контрольний матеріал ідентифікації IVD (діагностика in vitro), набір, НК 031:2024:D08 - МИЮЧІ ЗАСОБИ ДЛЯ МЕДИЧНИХ ВИРОБІВ ); Калібратор виготовлений на основі сироватки крові людини і призначений для калібрування біохімічних тестів на автоматичних аналізаторах. (47868 Множинні аналіти клінічної хімії IVD (діагностика in vitro), калібратор, НК 031:2024: W0101050301 - КАЛІБРАТОРИ МУЛЬТИКОМПОНЕНТНІ (КХ)); Діагностичний моноклональний реагент анти-В (52538 Анти-B групове типування еритроцитів IVD (діагностика in vitro), антитіла, НК 031:2024 W0103030199 – аналізи для визначення групи крові – інше</t>
  </si>
  <si>
    <t>Електрокардіограф (ДК 021:2015 (CPV 2008) – 33120000-7 - Системи реєстрації медичної інформації та дослідне обладнання - Дванадцяти-канальний електрокардіограф (код ДК 021:2015- 33121500-9 — Електрокардіографи, код НК 024:2023: 16231 – Професійний багатоканальний електрокардіограф)</t>
  </si>
  <si>
    <t>Журнали (ДК 021:2015: 22810000-1 Паперові чи картонні реєстраційні журнали)</t>
  </si>
  <si>
    <t>З ПДВ</t>
  </si>
  <si>
    <t>ЗАБУЖАНСЬКИЙ БОГДАН ІГОРОВИЧ</t>
  </si>
  <si>
    <t>ЗАПОРОЖЕЦЬ ВОЛОДИМИР ПЕТРОВИЧ</t>
  </si>
  <si>
    <t>Закупівля без використання електронної системи</t>
  </si>
  <si>
    <t>Замок до металопластикових дверей</t>
  </si>
  <si>
    <t>Запит ціни пропозиції</t>
  </si>
  <si>
    <t>Засувка чавунна із обгумованим клином</t>
  </si>
  <si>
    <t>Засіб дезінфекційний "БактеріоДез екстра"; Засіб дезінфекційний "БактеріоДез квік"; Засіб дезінфекційний "БактеріоДез інстру"; Засіб дезінфекційний  "БактеріоДез хенд"</t>
  </si>
  <si>
    <t>Зміщувач до душу</t>
  </si>
  <si>
    <t>КАЛАШНІКОВ АНТОН ЮРІЙОВИЧ</t>
  </si>
  <si>
    <t>КАПТОПРЕС 12,5 - ДАРНИЦЯ таблетки, по 10 таблеток у контурній чарунковій упаковці, по 2 контурні чарункові упаковки в пачці; Хлоргексидин Славія-2000, розчин для зовнішнього застосування 0,05 % по 100 мл; Анальгін-Здоров'я амп. 500 мг/мл 2 мл N10; ЛІДОКАЇН-ЗДОРОВ'Я розчин для ін'єкцій, 20 мг/мл, по 10 ампул у картонній коробці; видалене; Ібупрофен Б. Браун, розчин для інфузій, 400м/100мл; видалене; Бісопрол табл. 5мг N50 (10х5)</t>
  </si>
  <si>
    <t>КЕДЬ ЛІДІЯ ОЛЕКСАНДРІВНА</t>
  </si>
  <si>
    <t>КИЄНКО-РОМАНЮК СЕРГІЙ ІВАНОВИЧ</t>
  </si>
  <si>
    <t>КОВАЛЬ ОЛЕКСІЙ ЛЕОНІДОВИЧ</t>
  </si>
  <si>
    <t>КОД ДК 021:2015:  30190000-7 Офісне устаткування та приладдя різне</t>
  </si>
  <si>
    <t>КОД ДК 021:2015: 22850000-3 Швидкозшивачі та супутнє приладдя</t>
  </si>
  <si>
    <t>КОД ДК 021:2015: 39260000-2 Секційні лотки та канцелярське приладдя</t>
  </si>
  <si>
    <t>КОД ДК 021:2015:22810000-1 Паперові чи картонні реєстраційні журнали</t>
  </si>
  <si>
    <t>КОД ДК 021:2015:22830000-7 Зошити</t>
  </si>
  <si>
    <t>КОМУНАЛЬНЕ НЕКОМЕРЦІЙНЕ ПІДПРИЄМСТВО "ВІННИЦЬКА ОБЛАСНА КЛІНІЧНА ЛІКАРНЯ ІМ. М.І. ПИРОГОВА ВІННИЦЬКОЇ ОБЛАСНОЇ РАДИ"</t>
  </si>
  <si>
    <t>КОМУНАЛЬНЕ ПІДПРИЄМСТВО "ВІННИЦЯОБЛТЕПЛОЕНЕРГО"</t>
  </si>
  <si>
    <t>КОМУНАЛЬНЕ ПІДПРИЄМСТВО "ЖМЕРИНКАВОДОКАНАЛ"</t>
  </si>
  <si>
    <t>КОРПАН НАТАЛІЯ ОЛЕКСАНДРІВНА</t>
  </si>
  <si>
    <t>КРАТЮК СЕРГІЙ ВАЛЕРІЙОВИЧ</t>
  </si>
  <si>
    <t>КРИВОШЕЯ ВАДИМ МИХАЙЛОВИЧ</t>
  </si>
  <si>
    <t>КУХАР ТЕТЯНА ВАЛЕРІЇВНА</t>
  </si>
  <si>
    <t>Календар 2026 рік квартальний</t>
  </si>
  <si>
    <t>Капуста білоголова свіжа, пізньостигла, першого товарного сорту, 1 кг; Буряк столовий першого товарного сорту, 5-10 см, ДСТУ 7033, 1 кг; Морква свіжа, першого товарного сорту, ДСТУ 7035, 1 кг; Цибуля ріпчаста свіжа, вищого товарного сорту, від 5 см, ДСТУ 3234, 1 кг</t>
  </si>
  <si>
    <t>Капуста білоголова свіжа, пізньостигла, першого товарного сорту, 1 кг; Морква свіжа, першого товарного сорту, ДСТУ 7035, 1 кг; Цибуля ріпчаста свіжа, вищого товарного сорту, від 5 см, ДСТУ 3234, 1 кг; Буряк столовий першого товарного сорту, 5-10 см, ДСТУ 7033, 1 кг</t>
  </si>
  <si>
    <t>Кварцева грунтовка</t>
  </si>
  <si>
    <t>Кейдекс Ін'єкт розчин для ін'єкцій 25 мг/мл в ампулах по 2 мл №5; Нейроцитин розчин для інфузій 100 мл; Латрен розчин для інфузій 0,5 мг/мл пляшка 200 мл; Тівортін р-н д/інф. 42мг/мл пляшка 100мл</t>
  </si>
  <si>
    <t>Класифікація за ДК 021-2015 (CPV)	 15330000-0 - Оброблені фрукти та овочі (Томатна паста)</t>
  </si>
  <si>
    <t>Класифікація за ДК 021-2015 (CPV)	 15330000-0 - Оброблені фрукти та овочі(Томатна паста)</t>
  </si>
  <si>
    <t>Класифікація за ДК 021-2015 (CPV)	 15850000-1 - Макаронні вироби ( Макаронні вироби в асортименті)</t>
  </si>
  <si>
    <t>Класифікація за ДК 021-2015 (CPV)	 15860000-4 - Кава, чай та супутня продукція (Чорний чай крупнолистовий, заваний)</t>
  </si>
  <si>
    <t>Класифікація за ДК 021-2015 (CPV)	 15870000-7 - Заправки та приправи (Сіль харчова)</t>
  </si>
  <si>
    <t xml:space="preserve">Класифікація за ДК 021-2015 (CPV)	 44610000-9 - Цистерни, резервуари, контейнери та посудини високого тиску </t>
  </si>
  <si>
    <t>Класифікація за ДК 021-2015 (CPV)	 50720000-8 - Послуги з ремонту і технічного обслуговування систем центрального опалення ( Випробовування внутрішньої системи опалення)</t>
  </si>
  <si>
    <t>Класифікація за ДК 021-2015 (CPV)	 64210000-1 - Послуги телефонного зв’язку та передачі даних</t>
  </si>
  <si>
    <t>Класифікація за ДК 021-2015 (CPV)	 64210000-1 - Послуги телефонного зв’язку та передачі даних (Послуги фіксованого місцевого телефонного зв'язку)</t>
  </si>
  <si>
    <t>Класифікація за ДК 021-2015 (CPV)	 65110000-7 - Розподіл води (Послуги з централізованого водопостачання); абонентське обслуговування</t>
  </si>
  <si>
    <t>Класифікація за ДК 021-2015 (CPV)	 79710000-4 - Охоронні послуги ( Спостереження за ручними системами тривожної сигналізації, що встновлені на об'єктах з реагуванням наряду поліції охорони)</t>
  </si>
  <si>
    <t>Класифікація за ДК 021-2015 (CPV)	 80510000-2 - Послуги з професійної підготовки спеціалістів ( Навчання з питань пожежної безпеки)</t>
  </si>
  <si>
    <t>Класифікація за ДК 021-2015 (CPV)	 85110000-3 - Послуги лікувальних закладів та супутні послуги ( Послуги з проведення медичних оглядів)</t>
  </si>
  <si>
    <t>Класифікація за ДК 021-2015 (CPV) 19640000-4 - Поліетиленові мішки та пакети для сміття (Пакети для сміття)</t>
  </si>
  <si>
    <t>Класифікація за ДК 021-2015 (CPV) 32350000-1 - Частини до аудіо- та відеообладнання (Плівка харчова )</t>
  </si>
  <si>
    <t>Класифікація за ДК 021-2015 (CPV) 72410000-7 - Послуги провайдерів (Послуги з підтримки та обслуговування сайтів)</t>
  </si>
  <si>
    <t>Класифікація за ДК 021-2015 (CPV) 79710000-4 - Охоронні послуги ( Централізована охорона майна на об'єкті з реагуванням наряду поліції охорони)</t>
  </si>
  <si>
    <t>Класифікація за ДК 021-2015 (CPV) 79710000-4 - Охоронні послуги ( Цілодобове спостереження та технічне обслуговування за установкою пожежної автоматики, встановленної на об'єкті)</t>
  </si>
  <si>
    <t>Класифікація за ДК 021-2015 (CPV)72410000-7 - Послуги провайдерів (Надання доступу до мережі Інтернет)</t>
  </si>
  <si>
    <t>Ключ розвідний 	 ДК 021:2015 44520000-1 Замки, ключі та петлі</t>
  </si>
  <si>
    <t>Кметюк АНАСТАСІЯ СЕРГІЇВНА</t>
  </si>
  <si>
    <t>Код CPV</t>
  </si>
  <si>
    <t>Код ДК 021:2015 - 15510000-6 - Молоко та вершки (Молоко)</t>
  </si>
  <si>
    <t>Комп'ютерні послуги</t>
  </si>
  <si>
    <t>Кран маєвського 	 ДК 021:201542130000-9 Арматура трубопровідна: крани, вентилі, клапани та подібні пристрої</t>
  </si>
  <si>
    <t>Крем для рук "Медідерм Регенерація" Класифікація за ДК 021:2015: 33710000-0 Парфуми, засоби гігієни та презервативи</t>
  </si>
  <si>
    <t>Крупа пшенична (Класифікація за ДК 021-2015 (CPV)	 15610000-7 - Продукція борошномельно-круп'яної промисловості); Крупа гречана (Класифікація за ДК 021-2015 (CPV)	 15610000-7 - Продукція борошномельно-круп'яної промисловості); Крупа пшоняна (Класифікація за ДК 021-2015 (CPV)	 15610000-7 - Продукція борошномельно-круп'яної промисловості); Крупа перлова (Класифікація за ДК 021-2015 (CPV)	 15610000-7 - Продукція борошномельно-круп'яної промисловості); Крупа ячмінна (Класифікація за ДК 021-2015 (CPV)	 15610000-7 - Продукція борошномельно-круп'яної промисловості); Рис (Класифікація за ДК 021-2015 (CPV)	 15610000-7 - Продукція борошномельно-круп'яної промисловості); Вівсяні пластявці Геркулес (Класифікація за ДК 021-2015 (CPV)	 15610000-7 - Продукція борошномельно-круп'яної промисловості); Борошно пшеничне 1 гатунку (Класифікація за ДК 021-2015 (CPV)	 15610000-7 - Продукція борошномельно-круп'яної промисловості)</t>
  </si>
  <si>
    <t>Ксарелто таблетки вкриті плівковою оболонкою по 10 мг № 100</t>
  </si>
  <si>
    <t>Кузів Дмитро Любомирович</t>
  </si>
  <si>
    <t>ЛІРНИК ВІКТОР МИКОЛАЙОВИЧ</t>
  </si>
  <si>
    <t>ЛАНОВА ТЕТЯНА ВАСИЛІВНА</t>
  </si>
  <si>
    <t>Лабораторне обладнання та приладдя, код ДК 021:2015: 38430000-8 Детектори та аналізатори (Автоматичний біохімічний аналізатор (56669- Біохімічний автоматичний аналізатор метаболічного профілю IVD, стаціонарний))</t>
  </si>
  <si>
    <t>Лавка паркова довжиною 2 м</t>
  </si>
  <si>
    <t>Ліцензія доступу до Хмарного сервісу "IDIS - CLOUD" на 12 місяців</t>
  </si>
  <si>
    <t>М'якоть без кістки свинна, охолоджена, ДСТУ 4590, 1 кг</t>
  </si>
  <si>
    <t>М'якоть без кістки яловича, охолоджена, ДСТУ 4589, 1 кг</t>
  </si>
  <si>
    <t>М97-2025</t>
  </si>
  <si>
    <t>МАГНІЮ СУЛЬФАТ розчин для ін'єкцій, 250 мг/мл, по 5 мл в ампулі; по 5 ампул у контурній чарунковій упаковці; по 2 контурні чарункові упаковки в пачці; Еуфілін-Здоров'я розчин для ін'єкцій 20 мг/мл в ампулах по 5 мл 10 шт; ДЕКСАМЕТАЗОНУ ФОСФАТ, розчин для ін`єкцій, 4 мг/мл по 1 мл в ампулах № 10; НАТРІЮ ХЛОРИД Розчин ізотонічний для інфузій 0,9 % по 200 мл у контейнерах; НАТРІЮ ХЛОРИД Розчин ізотонічний для інфузій 0,9 % по 100 мл у конт.; СПИРТ ЕТИЛОВИЙ 70%, р-н спирт. для зовн. застосування  70% по 100 мл у фл №1; Прозерин-Дарниця розчин для ін'єкцій 0,5 мг/мл в ампулах по 1 мл №10; БЕТАЙОД-ЗДОРОВ'Я розчин нашкірний, 100 мг/мл, по 50 мл у флаконі, по 1 флакону укупореному насадкою та кришкою у коробці з картону; АНАЛЬГІН-ДАРНИЦЯ,розчин для ін'єкцій, 500мг/мл 2мл №10 (5х2); ЛІДОКАЇН-ЗДОРОВ'Я розчин для ін'єкцій, 20 мг/мл, по 10 ампул у картонній коробці; Амітриптилін таблетки вкриті оболонкою по 25 мг №50; Амітриптиліну г/хл-ЗН р-н д/ін.10мг/мл амп.2мл N10</t>
  </si>
  <si>
    <t>МАКОВЕЦЬКИЙ ДЕНИС СЕРГІЙОВИЧ</t>
  </si>
  <si>
    <t>МАЛЕ ПРИВАТНЕ ПІДПРИЄМСТВО "ТЕХМАШБУД"</t>
  </si>
  <si>
    <t>МАЛЕ ПРИВАТНЕ ПІДПРИЄМСТВО ВИРОБНИЧО-КОМЕРЦІЙНА ФІРМА "АГРОСОФТ"</t>
  </si>
  <si>
    <t>МАРИНИЧ ЛЮБОВ ІВАНІВНА</t>
  </si>
  <si>
    <t>МАРКУШЕВСЬКИЙ СЕРГІЙ ВОЛОДИМИРОВИЧ</t>
  </si>
  <si>
    <t>МАРУСИЧ БОГДАН ОЛЕКСІЙОВИЧ</t>
  </si>
  <si>
    <t>МЕДУА</t>
  </si>
  <si>
    <t>МОТОРНИЙ СЕРГІЙ ПЕТРОВИЧ</t>
  </si>
  <si>
    <t>Медичні бланки (ДК 021:2015:22820000-4 Бланки)</t>
  </si>
  <si>
    <t>Мелдоній	(МЕТОНАТ®  або еквівалент); видалене; Декскетопрофен	(ДЕКСЕТ або еквівалент); Декскетопрофен	(ДЕКСАЛГІН® САШЕ або еквівалент); Іпідакрин гідрохлорид	(МЕДІАТОРН або еквівалент); видалене; Бетагістин	(МЕДОГІСТИН® або еквівалент); видалене; Сульпірид	(Сульпірид-ЗН або еквівалент); видалене; Бетаметазон дипропіонату та бетаметазон натрію фосфату	(ДИПРОСПАН® або еквівалент); Етилендіамінова сіль тіоктової кислоти, що відповідає тіоктовій кислоті	(БЕРЛІТІОН® 600 ОД або еквівалент); Nabumetone	(СІНМЕТОН або еквівалент); Заліза (ІІІ) гідроксид сахарозний  комплекс,що еквівалентно вмісту заліза 20 мг (СУФЕР® або еквівалент); Пірацетам (монопрепарат та в комбінаціях: з цинаризином; з тіотриазоліном)	(ТІОЦЕТАМ® або еквівалент); Тіотриазолін	(ТІОТРИАЗОЛІН® або еквівалент); Hydrogen peroxide	(ПЕРЕКИСУ ВОДНЮ РОЗЧИН 3 %); видалене; видалене; Німесулід	(НІМІД® або еквівалент); видалене</t>
  </si>
  <si>
    <t>Метрологічна повірка законодавчо регульованих засобів вимірювальної техніки (відповідно до галузі уповноваження Виконавця або із залученням субпідрядників, які мають відповілне уповноваження), калібрування засобів вимірювальної техніки, вимірювання вихідних параметрів, перевірка метрологічних характеристик, контроль технічного стану)</t>
  </si>
  <si>
    <t>Метрологічне забезпечення (оцінювання вимірювальних можливостей і технічної компетентності) Клініко-діагностичної лабораторії Комунальне Некомерційне Підприємство "Жмеринська лікарня відновного лікування Вінницької обласної Ради"</t>
  </si>
  <si>
    <t>Молоко  за «Єдиним закупівельним словником» ДК 021:2015 код CPV 15510000-6 - Молоко та вершки</t>
  </si>
  <si>
    <t>Морожена риба " Хек" - ДК 021-2015 (CPV) 15220000-6 - Риба, рибне філе та інше м’ясо риби морожені</t>
  </si>
  <si>
    <t xml:space="preserve">Морожена риба " Хек" - ДК 021-2015 (CPV) 15220000-6 - Риба, рибне філе та інше м’ясо риби морожені </t>
  </si>
  <si>
    <t>Мікропробірка для забору крові "OMTech", не вакуумна, з капіляром, тип 2, К3 ЕДТА, стерильна, з бузковою кришкою, 0,5 мл, 10*45 мм RENJI MEDICAL; Пробірка Вакуумна для забору крові "OMTech", з активатором згортання, стерильна, з червоною кришкою, 6 мл, 13*100 мм RENJI MEDICAL; Пробірка Вакуумна для забору крові "OMTech", з цитратом натрію 3,2%, стерильна, з блакитною кришкою, 3,6 мл, 13*75 мм RENJI MEDICAL; Пробірка круглодонна об'ємом 5 мл (12х75 мм) поліпропіленова</t>
  </si>
  <si>
    <t>НАЗАРЕНКО ОЛЕКСАНДР МИКОЛАЙОВИЧ</t>
  </si>
  <si>
    <t>Набір реактивів "Глюкоза -Ф" 200; Розчин ізотонічний 5-Diff , 20л; HTI Лізуючий розчин HGB,500мл; HTI Лізуючий розчин WBC,1000мл; Матеріал контролю гематологічний атестований багато параметричний Para 12 Plus ( Норма) 4фл* 3,0мл; Набір реагентів призначений для кількісного in vitro визначення загального білірубіну у сироватці і плазмі крові людини; Набір реагентів призначений для кількісного in vitro визначення прямого білірубіну у сироватці і плазмі крові людини; Набір реагентів призначений для кількісного in vitro визначення креатиніну в сироватці і плазмі крові, а також у сечі людини; Набір реагентів призначений для кількісного in vitro визначення сечовини у сироватці і плазмі крові, а також в сечі людини; Набір реагентів призначений для кількісного in vitro визначення сечової кислоти у сироватці і плазмі крові, а також в сечі людини; Розчин промивний XL WASH; Набір реактивів «Тригліцериди-Ф» 100 мл</t>
  </si>
  <si>
    <t xml:space="preserve">Набір реактивів «Білок загальний 60»                  ; Набір реактивів «Холестерин 60»; Набір реактивів «Тригліцериди-Ф»100мл; Набір реактивів  "Білірубін" 250мл; Набір реактивів  «Альфа-Амілаза 30»; Набір реактивів «Сечовина» 250; Набір реактивів «Креатинін 60»; Діагностикум  для виявлення антистрептолізину –О в сироватці крові людини ; Діагностикум  для виявлення С-реактивного білку в сироватці крові людини ; Діагностикум  для виявлення ревматоїдного фактору в сироватці крові людини 200визначень; Набір реактивів "Глюкоза -Ф" 200; Набір реактивів  "Сечова кислота -Ф" 100мл; Діагностичні тест смужки призначені для напівкількісного аналізу сечі (визначення глюкози в сечі); Діагностичні тест смужки призначені для напівкількісного аналізу сечі (визначення кетонових тіл в сечі; Тромбопластин 1г; Кислота сульфосаліцилова; Натрій гідрооксид ; Кислота азотна 1,4кг; Тест швидкий для виявлення прихованої крові в калі; Натрій лимоннокислий 3х – заміщений ; Діагностичний моноклональний реагент анти-А (1 фл 10мл); Діагностичний моноклональний реагент анти-В (1фл 10мл) ; Діагностичний моноклональний реагент анти-D (1фл 10мл); Набір реактивів «Аланінамінотрансфераза 60»; Набір реактивів «Аспартатамінотрансфераза 60»; Контрольна сироватка норма; Розчин ізотонічний 5-Diff , 20л; HTI Лізуючий розчин HGB,500мл; HTI Лізуючий розчин WBC,1000мл; Матеріал контролю гематологічний атестований багато параметричний Para 12 Plus ( Норма), 3,0мл; Концентрований розчин для промивання, фасування: 50мл; Розчин для очистки, фасування: 50 мл </t>
  </si>
  <si>
    <t>Навроцька Тетяна Вікторівна</t>
  </si>
  <si>
    <t>Надання послуг з адміністрування (обслуговування) програмного забезпечення - комп'ютерних програм "Автоматизований бухгалтерський облік", "Економіка, тарифікація, штатаний розпис"</t>
  </si>
  <si>
    <t xml:space="preserve">Надання послуг з поточного ремонту медичного обладнання </t>
  </si>
  <si>
    <t>Надання послуг з технічного огляду та випробовувань</t>
  </si>
  <si>
    <t>Надання послуг служби технічної підтримки програмних продуктів KBS</t>
  </si>
  <si>
    <t>Недря Андрій Юрійович</t>
  </si>
  <si>
    <t>Номер договору</t>
  </si>
  <si>
    <t>Ні</t>
  </si>
  <si>
    <t>ОВЧАРЕНКО МАКСИМ ІВАНОВИЧ</t>
  </si>
  <si>
    <t>ОККО-СЕРВІС</t>
  </si>
  <si>
    <t>ОСТРЕНОК МАРИНА БОРИСІВНА</t>
  </si>
  <si>
    <t>Обслуговування програмного забезпечення "АС - Кошторис"</t>
  </si>
  <si>
    <t>Огляд та опосвідчення кисневих балонів</t>
  </si>
  <si>
    <t>Одноразовий набір для інфузії ЮРІЯ-ФАРМ модель IV-6-3 металева голка; видалене</t>
  </si>
  <si>
    <t>Остапюк Людмила Володимирівна</t>
  </si>
  <si>
    <t>ПЗ/ШЧ-4-255151/НЮ/133-2025</t>
  </si>
  <si>
    <t>ПК-00000294/43-2025</t>
  </si>
  <si>
    <t>ПОЛІЩУК ІВАН ВАСИЛЬОВИЧ</t>
  </si>
  <si>
    <t>ПОЛІЩУК МАРИНА ОЛЕКСАНДРІВНА</t>
  </si>
  <si>
    <t>ПРИВАТНЕ АКЦІОНЕРНЕ ТОВАРИСТВО "ПІДПРИЄМСТВО "МЕДТЕХНІКА"</t>
  </si>
  <si>
    <t>ПРИВАТНЕ ПІДПРИЄМСТВО "БРАВІС"</t>
  </si>
  <si>
    <t>ПРИВАТНЕ ПІДПРИЄМСТВО "НАУКОВО - ВИРОБНИЧИЙ ЦЕНТР ОЦІНКИ ВІДПОВІДНОСТІ "ЮГ"</t>
  </si>
  <si>
    <t>ПРИВАТНЕ ПІДПРИЄМСТВО "ОККО-СЕРВІС"</t>
  </si>
  <si>
    <t>ПРИВАТНЕ ПІДПРИЄМСТВО "ТЕХНОІНФОМЕД-2"</t>
  </si>
  <si>
    <t>ПРУС СЕРГІЙ АНАТОЛІЙОВИЧ</t>
  </si>
  <si>
    <t>Пакет п/е 70*100*50 мкм</t>
  </si>
  <si>
    <t>Пакля 80г котушка	 ДК 021:2015 19430000-9 Пряжа та текстильні нитки з натуральних волокон</t>
  </si>
  <si>
    <t>Папка - реєстратор А4</t>
  </si>
  <si>
    <t>Папір офісний А4</t>
  </si>
  <si>
    <t>Пара, гаряча вода та пов'язана продукція за кодом ДК 021-2015:09320000-8</t>
  </si>
  <si>
    <t>Паста Уніпак	 ДК 021:2015 44830000-7 Мастики, шпаклівки, замазки та розчинники</t>
  </si>
  <si>
    <t>Переможець (назва)</t>
  </si>
  <si>
    <t>Пилосмок будівельний</t>
  </si>
  <si>
    <t>Пластир медичний Ю-ФІКС, на тканинній основі ЮРІЯ-ФАРМ, 2.5 см х 500 см; Шприц ін'єкційний «Юрія-Фарм» 3-компонентний 2 мл з голкою 0,6х32 мм (23Gх1 1/4"); Шприц ін'єкційний «Юрія-Фарм» 3-компонентний 5 мл з голкою 0,7х38 мм (22Gх1 1/2"); Шприц ін'єкційний «Юрія-Фарм» 3-компонентний 10 мл з голкою 0,8х38 мм (21Gх1 1/2"); Шприц ін'єкційний «Юрія-Фарм» 3-компонентний 20 мл з голкою 0.8*38 мм (21G x 1 1/2"); Рукавички оглядові нітрилові нестерильні неприпудрені, розмір M «Юрія-Фарм»; Вата 100 г рулон нестерильна ТМ "ЮРІЯ-ФАРМ"; видалене; Відріз 300смх90см ТМ "ЮРІЯ-ФАРМ" марлевий нестерильний, рулон, тип 17; Канюля інфузійна Венопорт плюс розмір 22G 0,9 х 25 мм, синій, «Юрія-Фарм»; Бинт 7м х 14см ТМ "ЮРІЯ-ФАРМ" марлевий нестерильний, тип 17; видалене</t>
  </si>
  <si>
    <t>Плівка рентгенівська Agfa 30х40, №100; Плівка рентгенівська Agfa 18х24, №100</t>
  </si>
  <si>
    <t>Послуги з викошуванням газонів, трав та бур'янів на території Комунального некомерційного підприємства "Жмеринська лікарня відновного лікування Вінницької обласної Ради" по вул. Левка Лук'яненко, 2 м. Жмеринка, Вінницької області</t>
  </si>
  <si>
    <t xml:space="preserve">Послуги з збирання, перевезення та видалення великогабаратних відходів </t>
  </si>
  <si>
    <t>Послуги з збирання, перевезення та видалення побутових відходів (код за ДК 021-2015 (CPV)	 90510000-5 - Утилізація/видалення сміття та поводження зі сміттям)</t>
  </si>
  <si>
    <t>Послуги з медичного огляду працівників, що працюють з джерелами іонізуючого випромінювання</t>
  </si>
  <si>
    <t>Послуги з надання доступу в режимі он-лайн до електронних баз наукової та науков-технічної інформації, інформаційного ресурсу Експертус Медзаклад за рівнем VIP 12 міс</t>
  </si>
  <si>
    <t>Послуги з оновлення програмного забезпечення програмно-апаратних комплексів для телемедицини торгової марки "IDIS" та  навчання користувачів</t>
  </si>
  <si>
    <t>Послуги з опломбування вузлів  обліку</t>
  </si>
  <si>
    <t>Послуги з оформлення навчальної документації, проведення навчання та приймання іспитів з питань охорони праці на підприємстві</t>
  </si>
  <si>
    <t xml:space="preserve">Послуги з порізки сухостійних та самостійних дерев на території Комунального некомерційного підприємства "Жмеринська лікарня відновного лікування Вінницької обласної ради" за адресою вул. Левка Лук’яненка,2  в м. Жмеринка Вінницької області </t>
  </si>
  <si>
    <t>Послуги з підстригання живих огорож на території Комунального некомерційного підприємства "Жмеринська лікарня відновного лікування Вінницької обласної Ради" за адресою вул. Левка Лук'яненка,2 в м. Жмеринка Вінницької області</t>
  </si>
  <si>
    <t>Послуги з розроблення кошторисної документації по об'єкту: "Поточний ремонт припливно-витяжної системи вентиляції будівлі КНП "Жмеринська лікарня відновного лікування" Вінницької обласної Ради за адресою: Вінницька обл., Жмеринський р-н, м. Жмеринка, вул. Добролюбова</t>
  </si>
  <si>
    <t>Послуги з управління відходами</t>
  </si>
  <si>
    <t>Послуги з централізованого водовідведення</t>
  </si>
  <si>
    <t>Послуги по розпломбуванню вузлів обліку</t>
  </si>
  <si>
    <t>Послуги по розробці проекту тарифів на медичні послуги</t>
  </si>
  <si>
    <t>Послуги по супроводу програмного забезпечення - комп'ютерної програми та бази даних "Медична статистика" ( Номенклатурна позиція за ДК 021:2015: 72261000-2 - Послуги з обслуговування програмного забезпечення)</t>
  </si>
  <si>
    <t>Послуги по супроводу програмного забезпечення - комп'ютерної програми та бази даних "Облік медичних кадрів України"</t>
  </si>
  <si>
    <t>Предмет закупівлі</t>
  </si>
  <si>
    <t>Пристрій безперебійного живлення Vinga LED 1200VA</t>
  </si>
  <si>
    <t>Пристрій безперебійного живлення Vinga LED 800VA</t>
  </si>
  <si>
    <t>Проведення навчання з інструкцій з охорони праці і НПАОП</t>
  </si>
  <si>
    <t>Проведення технічного обслуговування вогнегасників</t>
  </si>
  <si>
    <t>Прокладка (під гідрант); прокладка ущільнююча</t>
  </si>
  <si>
    <t>Профіль металевий для гіпсокартону</t>
  </si>
  <si>
    <t>Проявник Agfa G150 для ручної обробки рентгенівської плівки (каністра 5 л) (ДК 021:2015: 24930000-2 Фотохімікати)</t>
  </si>
  <si>
    <t>Під час оприлюднення в електронній системі закупівель (далі-Електронна система) через авторизований електронний майданчик інформації в річному плані закупівлі за предметом Бензин марки А – 95, Дизельне паливо (Євро 5) (надалі-товар) на підставі пред’явлених скретч – карток/талонів, ДК 021–2015 (CPV) – 09130000-9 Нафта і дистиляти UA-P-2025-07-15-005567-a  сталася технічна (механіча) помилка, а саме: під час оприлюднення  річного плану щодо процедури закупівлі Запит ціни пропозиції, Замовником технічно (механічно) не було зазначено в полі «КЕКВ» Код економічної класифікації видатків бюджету (для бюджетних коштів): «2610 Субсидії та поточні трансферти підприємствам (установам, організаціям)» Так, як закупівля проведена та укладено з постачальником договір, який оприлюднено в електронній системі закупівель, внести зміни до річного плану закупівлі після оголошення та завершення закупівлі технічно неможливо.</t>
  </si>
  <si>
    <t>РЕГІОНАЛЬНА ФІЛІЯ "ПІВДЕННО-ЗАХІДНА ЗАЛІЗНИЦЯ" АКЦІОНЕРНОГО ТОВАРИСТВА "УКРАЇНСЬКА ЗАЛІЗНИЦЯ"</t>
  </si>
  <si>
    <t>РУДЕНКО ВІТАЛІЙ ВАСИЛЬОВИЧ</t>
  </si>
  <si>
    <t>Роботи по технічному обслуговуванню, ремонту ліфтів та диспетчерських систем</t>
  </si>
  <si>
    <t>Розподіл електричної енергії; Посуги із забезпечення перетікань реактивної електричної енергії</t>
  </si>
  <si>
    <t>Розробка проектно-кошторисної документації по об'єкту: "Капітальний ремонт з влаштування пожежної сигналізації, системи оповіщення та управління евакуацією людей у разі пожежі на першому поверсі головного корпусу з прибудовами КНП " Жмеринська лікарня відновного лікування Вінницької обласної Ради" за  адресою: ВІнницька обл., Жмеринський р-н, м. Жмеринка, вул. Левка Лук'яненка,2</t>
  </si>
  <si>
    <t>САРАФЕНЮК АНАТОЛІЙ ДМИТРОВИЧ</t>
  </si>
  <si>
    <t>СТ559/2025/206-2025</t>
  </si>
  <si>
    <t>СТМ-Фарм</t>
  </si>
  <si>
    <t>Салюк Людмила Василівна</t>
  </si>
  <si>
    <t>Серветки віскозні для прибирання</t>
  </si>
  <si>
    <t>Система для вливання “MEDICARE”  з металевою голкою, 21G, Luer Loсk</t>
  </si>
  <si>
    <t xml:space="preserve">Система очищення води до автоматичного біохімічного аналізатора, Код ДК 021:2015 42910000-8 Апарати для дистилювання, фільтрування чи ректифікації, НК 024:2023-40478 Система дистиляційного очищення води  </t>
  </si>
  <si>
    <t>Склосітка 5х5мм</t>
  </si>
  <si>
    <t>Станція OnClean для автоматичного дозування дезінфікуючих та мийних засобів</t>
  </si>
  <si>
    <t>Статус договору</t>
  </si>
  <si>
    <t>Столик TAPS 55х55см; стелаж MOSBJERG; стіл регульований; шухляди KLINTHOLM</t>
  </si>
  <si>
    <t>Стрічка клейка малярна 38*20 жовта; гіпсокартон вологостійкий</t>
  </si>
  <si>
    <t>Стіл письмовий з модульною тумбою ( 1700х700х800, 900х350х780); стіл приставний (800х700х780)</t>
  </si>
  <si>
    <t>Стіл письмовий з модульною тумбою 1900х750х800,900х460х800; Стіл 1300х650х800</t>
  </si>
  <si>
    <t>Сума договору</t>
  </si>
  <si>
    <t>Т-107/13-2025</t>
  </si>
  <si>
    <t>ТЕРНОПІЛЬСЬКИЙ НАЦІОНАЛЬНИЙ МЕДИЧНИЙ УНІВЕРСИТЕТ ІМЕНІ І.Я.ГОРБАЧЕВСЬКОГО МІНІСТЕРСТВА ОХОРОНИ ЗДОРОВ'Я УКРАЇНИ</t>
  </si>
  <si>
    <t>ТОВ " Медичний центр "М.Т.К."</t>
  </si>
  <si>
    <t>ТОВ "Наш Хліб Вінниця"</t>
  </si>
  <si>
    <t>ТОВ "ФАРММЕДАЛЬЯНС"</t>
  </si>
  <si>
    <t>ТОВ НВП "АКВА"</t>
  </si>
  <si>
    <t>ТОВАРИСТВО З ОБМЕЖЕНОЮ ВІДПОВІДАЛЬНІСТЮ  "ПРОФІЛАКТИКА"</t>
  </si>
  <si>
    <t>ТОВАРИСТВО З ОБМЕЖЕНОЮ ВІДПОВІДАЛЬНІСТЮ "ІНФОСОФТ СЕРВІС"</t>
  </si>
  <si>
    <t>ТОВАРИСТВО З ОБМЕЖЕНОЮ ВІДПОВІДАЛЬНІСТЮ "АГЕНТСТВО "КОНСАЛТ"</t>
  </si>
  <si>
    <t>ТОВАРИСТВО З ОБМЕЖЕНОЮ ВІДПОВІДАЛЬНІСТЮ "АКАДЕМІЯ КОНСАЛТИНГУ ТА АУДИТУ"</t>
  </si>
  <si>
    <t>ТОВАРИСТВО З ОБМЕЖЕНОЮ ВІДПОВІДАЛЬНІСТЮ "АРМА"</t>
  </si>
  <si>
    <t>ТОВАРИСТВО З ОБМЕЖЕНОЮ ВІДПОВІДАЛЬНІСТЮ "АСКЕПНЕТ"</t>
  </si>
  <si>
    <t>ТОВАРИСТВО З ОБМЕЖЕНОЮ ВІДПОВІДАЛЬНІСТЮ "ГІДРОГЕОЛОГ"</t>
  </si>
  <si>
    <t>ТОВАРИСТВО З ОБМЕЖЕНОЮ ВІДПОВІДАЛЬНІСТЮ "ГРУПА КОМПАНІЙ МЕТ-ІНОКС"</t>
  </si>
  <si>
    <t>ТОВАРИСТВО З ОБМЕЖЕНОЮ ВІДПОВІДАЛЬНІСТЮ "ДІПІ ЕЙР ГАЗ"</t>
  </si>
  <si>
    <t>ТОВАРИСТВО З ОБМЕЖЕНОЮ ВІДПОВІДАЛЬНІСТЮ "ЕКО ЗАХИСТ-УКРАЇНА"</t>
  </si>
  <si>
    <t>ТОВАРИСТВО З ОБМЕЖЕНОЮ ВІДПОВІДАЛЬНІСТЮ "ЖМЕРИНСЬКИЙ ЛІКУВАЛЬНО-ДІАГНОСТИЧНИЙ ЦЕНТР"</t>
  </si>
  <si>
    <t>ТОВАРИСТВО З ОБМЕЖЕНОЮ ВІДПОВІДАЛЬНІСТЮ "КАДРОЛЕНД"</t>
  </si>
  <si>
    <t>ТОВАРИСТВО З ОБМЕЖЕНОЮ ВІДПОВІДАЛЬНІСТЮ "ЛАЙФМЕДИКА"</t>
  </si>
  <si>
    <t>ТОВАРИСТВО З ОБМЕЖЕНОЮ ВІДПОВІДАЛЬНІСТЮ "МЕДІНФОСЕРВІС"</t>
  </si>
  <si>
    <t>ТОВАРИСТВО З ОБМЕЖЕНОЮ ВІДПОВІДАЛЬНІСТЮ "МЕДИЦИНА ВМ"</t>
  </si>
  <si>
    <t>ТОВАРИСТВО З ОБМЕЖЕНОЮ ВІДПОВІДАЛЬНІСТЮ "НАУКОВО-ПРОМИСЛОВА КОМПАНІЯ "ХОУМ-НЕТ"</t>
  </si>
  <si>
    <t>ТОВАРИСТВО З ОБМЕЖЕНОЮ ВІДПОВІДАЛЬНІСТЮ "НМТ"</t>
  </si>
  <si>
    <t>ТОВАРИСТВО З ОБМЕЖЕНОЮ ВІДПОВІДАЛЬНІСТЮ "ПРЕСС КОНСАЛТИНГ"</t>
  </si>
  <si>
    <t>ТОВАРИСТВО З ОБМЕЖЕНОЮ ВІДПОВІДАЛЬНІСТЮ "ПРОМАВТОМАТИКА ВІННИЦЯ"</t>
  </si>
  <si>
    <t>ТОВАРИСТВО З ОБМЕЖЕНОЮ ВІДПОВІДАЛЬНІСТЮ "СТАТУС-ПРОМЕД"</t>
  </si>
  <si>
    <t>ТОВАРИСТВО З ОБМЕЖЕНОЮ ВІДПОВІДАЛЬНІСТЮ "УНІВЕР-САН"</t>
  </si>
  <si>
    <t>ТОВАРИСТВО З ОБМЕЖЕНОЮ ВІДПОВІДАЛЬНІСТЮ "УЧБОВО-НАУКОВЕ ПІДПРИЄМСТВО"ПРОФ-АВТО"</t>
  </si>
  <si>
    <t>ТОВАРИСТВО З ОБМЕЖЕНОЮ ВІДПОВІДАЛЬНІСТЮ "ЮСК УКРАЇНА"</t>
  </si>
  <si>
    <t>ТОВАРИСТВО З ОБМЕЖЕНОЮ ВІДПОВІДАЛЬНІСТЮ - НАУКОВО - ВИРОБНИЧЕ ПІДПРИЄМСТВО"АКВА"</t>
  </si>
  <si>
    <t>ТОВАРИСТВО З ОБМЕЖЕНОЮ ВІДПОВІДАЛЬНІСТЮ «БУД-СОЛЮШН»</t>
  </si>
  <si>
    <t>ТОВАРИСТВО З ОБМЕЖЕНОЮ ВІДПОВІДАЛЬНІСТЮ «ЕКСПЕРТУС ТЕК»</t>
  </si>
  <si>
    <t>ТРАЧУК ОЛЕНА ВАСИЛІВНА</t>
  </si>
  <si>
    <t>Так</t>
  </si>
  <si>
    <t>Телевізор LG55NANO; Телевізор LG65NANO</t>
  </si>
  <si>
    <t>Технічне обслуговування (Діагностика) Напіваавтоматичного біохімічного аналізатора BS-3000M за кодом ДК 021:2015  50410000-2 Послуги з ремонту і технічного обслуговування вимірювальних, випробувальних і контрольних приладів</t>
  </si>
  <si>
    <t>Технічне обслуговування та ремонт ліфтів (Номенклатурна позиція заДК 021-2015 (CPV)50750000-7 - Послуги з технічного обслуговування ліфтів)</t>
  </si>
  <si>
    <t>Тип процедури</t>
  </si>
  <si>
    <t>УНІВЕР-САН</t>
  </si>
  <si>
    <t>УПРАВЛІННЯ ПОЛІЦІЇ ОХОРОНИ У ВІННИЦЬКІЙ ОБЛАСТІ</t>
  </si>
  <si>
    <t>Участь у короткотерміновому семінарі спеціалістів замовника в сфері здійснення публічних закупівель згідно із затвердженою програмою підготовки спеціалістів (навчальні засоби, код ДК 021:2015:80520000-5)</t>
  </si>
  <si>
    <t>Участь у семінарі «Літній weekend для ТОП-менеджерів медзакладів: управління медзакладом» (20-23.08.2025) Пакет Стандарт, 14:00, Львів, офлайн формат</t>
  </si>
  <si>
    <t>ФІЛІЯ "ЕНЕРГОЗБУТ" АКЦІОНЕРНОГО ТОВАРИСТВА "УКРАЇНСЬКА ЗАЛІЗНИЦЯ"</t>
  </si>
  <si>
    <t>ФІЛІЯ "ЦЕНТР БУДІВЕЛЬНО-МОНТАЖНИХ РОБІТ ТА ЕКСПЛУАТАЦІЇ БУДІВЕЛЬ І СПОРУД" АКЦІОНЕРНОГО ТОВАРИСТВА "УКРАЇНСЬКА ЗАЛІЗНИЦЯ"</t>
  </si>
  <si>
    <t>ФОП ГРИГОР'ЄВ МИХАЙЛО ОЛЕКСАНДРОВИЧ</t>
  </si>
  <si>
    <t>ФОП ПУШКАРЬОВ ВАСИЛЬ ВАСИЛЬОВИЧ</t>
  </si>
  <si>
    <t>ФОП Шиндер Марія Сергіївна</t>
  </si>
  <si>
    <t>Фарба грунтуюча	 ДК 021:2015 44810000-1 Фарби</t>
  </si>
  <si>
    <t>Фарба латексна матова 14 кг</t>
  </si>
  <si>
    <t>Філе куряче, охолоджене, ДСТУ 3143, 1 кг</t>
  </si>
  <si>
    <t>ХОНДАРОВА ВАЛЕНТИНА ІЛЛІВНА</t>
  </si>
  <si>
    <t>Хліб з пшеничного борошна, в упаковці, ДСТУ 7517, 1 кг</t>
  </si>
  <si>
    <t>Холодильник Beko TS190020; Холодильник HITACHI (R-H330PUC7BBK) двокамерний, 176л/54л; Холодильник Grifon DF-143W</t>
  </si>
  <si>
    <t>ШАВЛАЙ ГАЛИНА ЛЕОНІДІВНА</t>
  </si>
  <si>
    <t>ШИНДЕР МАРІЯ СЕРГІЇВНА</t>
  </si>
  <si>
    <t>ШУСТ ОЛЕНА ПЕТРІВНА</t>
  </si>
  <si>
    <t>Шафа під одежу (590х550х100)</t>
  </si>
  <si>
    <t>Шафа під сейф (656х600х870); шафа під папери ( 656х350х1240); шафа під папери ( 590х350х2100)</t>
  </si>
  <si>
    <t xml:space="preserve">Юридичні послуги, які споживаються в процесі господарської діяльності, згідно коду ДК 021:2015:79110000-8 - Послуги з юридичного консультування та юридичного представництва </t>
  </si>
  <si>
    <t>Ящик металевий ШМР 12 автоматів герметичний накладний; наконечник міднолужневий DT50</t>
  </si>
  <si>
    <t>автоматичний вимикач ВА88-35 ЗР250 А</t>
  </si>
  <si>
    <t>активний</t>
  </si>
  <si>
    <t>акумулятор</t>
  </si>
  <si>
    <t>анод до бойлера; тен до бойлера</t>
  </si>
  <si>
    <t>б/н</t>
  </si>
  <si>
    <t>бетоно контакт</t>
  </si>
  <si>
    <t>болт; гайка</t>
  </si>
  <si>
    <t>бур; свердло по керамиці; пістолет</t>
  </si>
  <si>
    <t>валік покрасочний</t>
  </si>
  <si>
    <t>вапно</t>
  </si>
  <si>
    <t>вапно 10 кг</t>
  </si>
  <si>
    <t>вапно 5 кг</t>
  </si>
  <si>
    <t>вівсяні пластівці; пшоно</t>
  </si>
  <si>
    <t>відро</t>
  </si>
  <si>
    <t>віник; швабра; запаска на швабру</t>
  </si>
  <si>
    <t>грунт покрасочний; розчинник</t>
  </si>
  <si>
    <t>грунтовка 10 л; шпаклівка стартова</t>
  </si>
  <si>
    <t>губка кухонна</t>
  </si>
  <si>
    <t>гіпсокартон; плита підвісної стелі; склострічка</t>
  </si>
  <si>
    <t>двері алюмінієві 870х2070; двері алюмінієві 980х2050; двері алюмінієві 1040х2020; вікно металопластикове 1500х1860; вікно металопластикове 2100х1860</t>
  </si>
  <si>
    <t>диван; крісло</t>
  </si>
  <si>
    <t>диск</t>
  </si>
  <si>
    <t>дюбель; турбогвинт; шпилька; гайка; гвинт; саморіз по металу; шайба; болт</t>
  </si>
  <si>
    <t>емаль молоткова; фарба біла 0,9</t>
  </si>
  <si>
    <t>еструдер</t>
  </si>
  <si>
    <t>замок</t>
  </si>
  <si>
    <t>зняття та встановлення КПП; ремонт КПП</t>
  </si>
  <si>
    <t>камера до тачки</t>
  </si>
  <si>
    <t>кварцева грунтовка10 л</t>
  </si>
  <si>
    <t>кварцева грунтовка; шпаклівка 300</t>
  </si>
  <si>
    <t>кварцева грунтовка; шпаклівка по дереву; піна</t>
  </si>
  <si>
    <t>килимок для мишки; мишка; пристрій безперебійного живлення ; акустична система; веб-камера</t>
  </si>
  <si>
    <t>клей</t>
  </si>
  <si>
    <t>клей газоблок</t>
  </si>
  <si>
    <t>клей піна</t>
  </si>
  <si>
    <t>клей-піна</t>
  </si>
  <si>
    <t>клей-піна; клей газоблок</t>
  </si>
  <si>
    <t>код ДК 021-2015 (CPV)	 15330000-0 - Оброблені фрукти та овочі (Томатна паста)</t>
  </si>
  <si>
    <t>колорекс</t>
  </si>
  <si>
    <t>колорекс; фарба біла 0,9</t>
  </si>
  <si>
    <t>коліно; труба 50/50 см</t>
  </si>
  <si>
    <t>комплект ременя СПМ; фільтр повітряний; фільтр олива; ремінь; ремкомплект підшипник КПП; граната</t>
  </si>
  <si>
    <t>короб</t>
  </si>
  <si>
    <t>кран водорозбірний</t>
  </si>
  <si>
    <t>кран радіаторний</t>
  </si>
  <si>
    <t>крани</t>
  </si>
  <si>
    <t>крем - мило рідке; мило рідке господарське</t>
  </si>
  <si>
    <t>круг</t>
  </si>
  <si>
    <t>круг веєрний</t>
  </si>
  <si>
    <t>кріплення</t>
  </si>
  <si>
    <t>кріплення; анкер</t>
  </si>
  <si>
    <t>кутова шліфмашина; дриль - шурупокрут; мінішліфмашина</t>
  </si>
  <si>
    <t>кісточка</t>
  </si>
  <si>
    <t>кісточка; відро; макловиця</t>
  </si>
  <si>
    <t>кісточка; кісточка; макловиця</t>
  </si>
  <si>
    <t>лампочка</t>
  </si>
  <si>
    <t>ламінат</t>
  </si>
  <si>
    <t>ламінат ; пінопласт; подножка; плінтус; уголок пластиковий; цвяхи</t>
  </si>
  <si>
    <t>ламінат; подложка; кутик плінтуса</t>
  </si>
  <si>
    <t>ламінат; уголоко амстронг; уголки плінтус</t>
  </si>
  <si>
    <t>ланцюг</t>
  </si>
  <si>
    <t>лезвія</t>
  </si>
  <si>
    <t>лезвія; саморіз 25</t>
  </si>
  <si>
    <t>люк</t>
  </si>
  <si>
    <t>макловиця</t>
  </si>
  <si>
    <t>макловиця; щітка</t>
  </si>
  <si>
    <t>маршрутизатор; мережевий фільтр живлення</t>
  </si>
  <si>
    <t>мелоксикам; тіамін (монопрепарат та в комбінації з піридоксином та ціанокобаламіном); тіоколхікозид; набуметон; бетагістин; прамірацетам; мексідол; дифенгідрамін; вінпоцетин; іпідакрин гідрохлориду моногідрат ( у перерахуванні на іпідакрину гідрохлиду); толперизон (монопрепарат та його комбінація з лідокаїном); сулпирид; Прегабалін; дулоксетину гідрохлорид; іпідакрин</t>
  </si>
  <si>
    <t>миючий засіб; засіб для миття скла</t>
  </si>
  <si>
    <t>миючий засіб; чистячий порошок</t>
  </si>
  <si>
    <t>моршинська ропа</t>
  </si>
  <si>
    <t>мікропіпетка скляна до ШОЕ метру</t>
  </si>
  <si>
    <t>насос вакуумний</t>
  </si>
  <si>
    <t>осб</t>
  </si>
  <si>
    <t>освіжувач повітря</t>
  </si>
  <si>
    <t>пластівці вівсяні; Крупа гречана ; Крупа перлова; рис; Крупа ячмінна ; крупа пшенична</t>
  </si>
  <si>
    <t>пластівці вівсяні; Крупа гречана ; Крупа пшоняна ; рис; Крупа ячмінна ; крупа кукурудзяна; крупа пшенична</t>
  </si>
  <si>
    <t>плівка чорна</t>
  </si>
  <si>
    <t>пожений гідрант підземний; підставка під пожгідрант</t>
  </si>
  <si>
    <t>покришка</t>
  </si>
  <si>
    <t>поручень</t>
  </si>
  <si>
    <t>послуги за кодом 	ДК 021:2015 72260000-5 Послуги, пов’язані з програмним забезпеченням</t>
  </si>
  <si>
    <t>поточний ремонт і технічне обслуговування засобів вимірювання</t>
  </si>
  <si>
    <t>прискалка</t>
  </si>
  <si>
    <t>провід 0,75</t>
  </si>
  <si>
    <t>провід ПВ-1 2,5 мм кв; провід ПВ-3 50 Віса</t>
  </si>
  <si>
    <t>прокладка до бойлера</t>
  </si>
  <si>
    <t>прокладка ущільнююча</t>
  </si>
  <si>
    <t>прокладка; американка; труба; угол; сальнік; заглушка</t>
  </si>
  <si>
    <t>протипожежний інвентар</t>
  </si>
  <si>
    <t>профіль</t>
  </si>
  <si>
    <t>пшенична крупа</t>
  </si>
  <si>
    <t>пшоно; перлова крупа</t>
  </si>
  <si>
    <t>підвіс; профіль СД</t>
  </si>
  <si>
    <t>піна мотажна</t>
  </si>
  <si>
    <t>ремінь газель</t>
  </si>
  <si>
    <t>рукавиця</t>
  </si>
  <si>
    <t>рукавиці</t>
  </si>
  <si>
    <t>рулетка</t>
  </si>
  <si>
    <t>рушник паперовий; серветки столові; туалетний папір</t>
  </si>
  <si>
    <t>рідкий анкер; клей піна</t>
  </si>
  <si>
    <t>рідкий анкер; рідкий цвях</t>
  </si>
  <si>
    <t>свердло бур</t>
  </si>
  <si>
    <t>свердло кераміка; бур</t>
  </si>
  <si>
    <t>свердло по дереву; свердло; біта</t>
  </si>
  <si>
    <t>серветки столові; туалетний папір Обухів; рушник паперовий Кохавинка</t>
  </si>
  <si>
    <t>серцевина</t>
  </si>
  <si>
    <t>серцевина в замок; замок дверний; ключ розвідний; ключ маєвського</t>
  </si>
  <si>
    <t>синька</t>
  </si>
  <si>
    <t>скотч малярний</t>
  </si>
  <si>
    <t>стяжка</t>
  </si>
  <si>
    <t>сілікон</t>
  </si>
  <si>
    <t>сітка фасад</t>
  </si>
  <si>
    <t>сіфон умивальника</t>
  </si>
  <si>
    <t>термопапір 57*25 білий</t>
  </si>
  <si>
    <t>тройнік 25; муфта 25; угол 25; редукція 25</t>
  </si>
  <si>
    <t>фарба</t>
  </si>
  <si>
    <t>фарба біла</t>
  </si>
  <si>
    <t>фарба молоткова</t>
  </si>
  <si>
    <t>цемент</t>
  </si>
  <si>
    <t>шафа</t>
  </si>
  <si>
    <t>шафа пожежна 600х600х230 навісна без задньої стіки; головка ГМН-50; рукав 51мм 0,8МПф пластик для ВПК; ствол РС-50</t>
  </si>
  <si>
    <t>швабра; граблі</t>
  </si>
  <si>
    <t>шпаклівка</t>
  </si>
  <si>
    <t>шпатель; валік</t>
  </si>
  <si>
    <t>шпатель; скотч малярний</t>
  </si>
  <si>
    <t>шпилька різьба 12; гайка М12; шайба М12; кріплення кришки</t>
  </si>
  <si>
    <t>шпилька; гайка; хомут</t>
  </si>
  <si>
    <t>штукатурка фактурна біла</t>
  </si>
  <si>
    <t>щітка для унітазу</t>
  </si>
  <si>
    <t>щіточка покрасочна</t>
  </si>
  <si>
    <t>ящик пластмасовий 3хф чорний</t>
  </si>
  <si>
    <t>№</t>
  </si>
  <si>
    <t>ЗВІТ за 2025 рік</t>
  </si>
  <si>
    <t>Виконано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</si>
</sst>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5" x14ac:knownFonts="1">
    <font>
      <sz val="11"/>
      <color theme="1"/>
      <name val="Calibri"/>
      <family val="2"/>
      <scheme val="minor"/>
    </font>
    <font>
      <sz val="10"/>
      <color rgb="FF000000"/>
      <name val="Arial"/>
      <family val="2"/>
    </font>
    <font>
      <sz val="10"/>
      <color rgb="FF0000FF"/>
      <name val="Arial"/>
      <family val="2"/>
    </font>
    <font>
      <b/>
      <sz val="10"/>
      <color rgb="FFFFFFFF"/>
      <name val="Arial"/>
      <family val="2"/>
    </font>
    <font>
      <b/>
      <sz val="24"/>
      <color rgb="FF000000"/>
      <name val="Times New Roman"/>
      <family val="1"/>
    </font>
  </fonts>
  <fills count="3">
    <fill>
      <patternFill patternType="none"/>
    </fill>
    <fill>
      <patternFill patternType="gray125"/>
    </fill>
    <fill>
      <patternFill patternType="solid">
        <fgColor rgb="FF008000"/>
      </patternFill>
    </fill>
  </fills>
  <borders count="3">
    <border>
      <left/>
      <right/>
      <top/>
      <bottom/>
      <diagonal/>
    </border>
    <border>
      <left style="medium">
        <color rgb="FFFFFFFF"/>
      </left>
      <right style="medium">
        <color rgb="FFFFFFFF"/>
      </right>
      <top style="medium">
        <color rgb="FFFFFFFF"/>
      </top>
      <bottom style="medium">
        <color rgb="FFFFFFFF"/>
      </bottom>
      <diagonal/>
    </border>
    <border>
      <left/>
      <right/>
      <top/>
      <bottom style="medium">
        <color rgb="FFFFFFFF"/>
      </bottom>
      <diagonal/>
    </border>
  </borders>
  <cellStyleXfs count="1">
    <xf numFmtId="0" fontId="0" fillId="0" borderId="0"/>
  </cellStyleXfs>
  <cellXfs count="11">
    <xf numFmtId="0" fontId="0" fillId="0" borderId="0" xfId="0"/>
    <xf numFmtId="0" fontId="3" fillId="2" borderId="1" xfId="0" applyFont="1" applyFill="1" applyBorder="1" applyAlignment="1">
      <alignment horizontal="center" wrapText="1"/>
    </xf>
    <xf numFmtId="0" fontId="0" fillId="0" borderId="0" xfId="0" applyAlignment="1">
      <alignment wrapText="1"/>
    </xf>
    <xf numFmtId="1" fontId="1" fillId="0" borderId="0" xfId="0" applyNumberFormat="1" applyFont="1" applyAlignment="1">
      <alignment wrapText="1"/>
    </xf>
    <xf numFmtId="0" fontId="2" fillId="0" borderId="0" xfId="0" applyFont="1" applyAlignment="1">
      <alignment wrapText="1"/>
    </xf>
    <xf numFmtId="0" fontId="1" fillId="0" borderId="0" xfId="0" applyFont="1" applyAlignment="1">
      <alignment wrapText="1"/>
    </xf>
    <xf numFmtId="165" fontId="1" fillId="0" borderId="0" xfId="0" applyNumberFormat="1" applyFont="1" applyAlignment="1">
      <alignment wrapText="1"/>
    </xf>
    <xf numFmtId="4" fontId="1" fillId="0" borderId="0" xfId="0" applyNumberFormat="1" applyFont="1" applyAlignment="1">
      <alignment wrapText="1"/>
    </xf>
    <xf numFmtId="0" fontId="1" fillId="0" borderId="0" xfId="0" applyFont="1" applyAlignment="1">
      <alignment horizontal="center"/>
    </xf>
    <xf numFmtId="0" fontId="1" fillId="0" borderId="2" xfId="0" applyFont="1" applyBorder="1" applyAlignment="1">
      <alignment horizontal="center"/>
    </xf>
    <xf numFmtId="0" fontId="4" fillId="0" borderId="0" xfId="0" applyFont="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4;&#1080;&#1089;&#1082;_&#1044;/&#1047;&#1042;&#1030;&#1058;%202022%20&#1088;&#1110;&#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віт"/>
    </sheetNames>
    <sheetDataSet>
      <sheetData sheetId="0">
        <row r="3">
          <cell r="C3" t="str">
            <v>Виконано</v>
          </cell>
        </row>
        <row r="4">
          <cell r="C4" t="str">
            <v>Виконано</v>
          </cell>
        </row>
        <row r="5">
          <cell r="C5" t="str">
            <v>Виконано</v>
          </cell>
        </row>
        <row r="6">
          <cell r="C6" t="str">
            <v>Виконано</v>
          </cell>
        </row>
        <row r="7">
          <cell r="C7" t="str">
            <v>Виконано</v>
          </cell>
        </row>
        <row r="8">
          <cell r="C8" t="str">
            <v>Виконано</v>
          </cell>
        </row>
        <row r="9">
          <cell r="C9" t="str">
            <v>Виконано</v>
          </cell>
        </row>
        <row r="10">
          <cell r="C10" t="str">
            <v>Виконано</v>
          </cell>
        </row>
        <row r="11">
          <cell r="C11" t="str">
            <v>Виконано</v>
          </cell>
        </row>
        <row r="12">
          <cell r="C12" t="str">
            <v>Виконано</v>
          </cell>
        </row>
        <row r="13">
          <cell r="C13" t="str">
            <v>Виконано</v>
          </cell>
        </row>
        <row r="14">
          <cell r="C14" t="str">
            <v>Виконано</v>
          </cell>
        </row>
        <row r="15">
          <cell r="C15" t="str">
            <v>Виконано</v>
          </cell>
        </row>
        <row r="16">
          <cell r="C16" t="str">
            <v>Виконано</v>
          </cell>
        </row>
        <row r="17">
          <cell r="C17" t="str">
            <v>Виконано</v>
          </cell>
        </row>
        <row r="18">
          <cell r="C18" t="str">
            <v>Виконано</v>
          </cell>
        </row>
        <row r="19">
          <cell r="C19" t="str">
            <v>Виконано</v>
          </cell>
        </row>
        <row r="20">
          <cell r="C20" t="str">
            <v>Виконано</v>
          </cell>
        </row>
        <row r="21">
          <cell r="C21" t="str">
            <v>Виконано</v>
          </cell>
        </row>
        <row r="22">
          <cell r="C22" t="str">
            <v>Виконано</v>
          </cell>
        </row>
        <row r="23">
          <cell r="C23" t="str">
            <v>Виконано</v>
          </cell>
        </row>
        <row r="24">
          <cell r="C24" t="str">
            <v>Виконано</v>
          </cell>
        </row>
        <row r="25">
          <cell r="C25" t="str">
            <v>Виконано</v>
          </cell>
        </row>
        <row r="26">
          <cell r="C26" t="str">
            <v>Виконано</v>
          </cell>
        </row>
        <row r="27">
          <cell r="C27" t="str">
            <v>Виконано</v>
          </cell>
        </row>
        <row r="28">
          <cell r="C28" t="str">
            <v>Виконано</v>
          </cell>
        </row>
        <row r="29">
          <cell r="C29" t="str">
            <v>Виконано</v>
          </cell>
        </row>
        <row r="30">
          <cell r="C30" t="str">
            <v>Виконано</v>
          </cell>
        </row>
        <row r="31">
          <cell r="C31" t="str">
            <v>Виконано</v>
          </cell>
        </row>
        <row r="32">
          <cell r="C32" t="str">
            <v>Виконано</v>
          </cell>
        </row>
        <row r="33">
          <cell r="C33" t="str">
            <v>Виконано</v>
          </cell>
        </row>
        <row r="34">
          <cell r="C34" t="str">
            <v>Виконано</v>
          </cell>
        </row>
        <row r="35">
          <cell r="C35" t="str">
            <v>Виконано</v>
          </cell>
        </row>
        <row r="36">
          <cell r="C36" t="str">
            <v>Виконано</v>
          </cell>
        </row>
        <row r="37">
          <cell r="C37" t="str">
            <v>Виконано</v>
          </cell>
        </row>
        <row r="38">
          <cell r="C38" t="str">
            <v>Виконано</v>
          </cell>
        </row>
        <row r="39">
          <cell r="C39" t="str">
            <v>Виконано</v>
          </cell>
        </row>
        <row r="40">
          <cell r="C40" t="str">
            <v>Виконано</v>
          </cell>
        </row>
        <row r="41">
          <cell r="C41" t="str">
            <v>Виконано</v>
          </cell>
        </row>
        <row r="42">
          <cell r="C42" t="str">
            <v>Виконано</v>
          </cell>
        </row>
        <row r="43">
          <cell r="C43" t="str">
            <v>Виконано</v>
          </cell>
        </row>
        <row r="44">
          <cell r="C44" t="str">
            <v>Виконано</v>
          </cell>
        </row>
        <row r="45">
          <cell r="C45" t="str">
            <v>Виконано</v>
          </cell>
        </row>
        <row r="46">
          <cell r="C46" t="str">
            <v>Виконано</v>
          </cell>
        </row>
        <row r="47">
          <cell r="C47" t="str">
            <v>Виконано</v>
          </cell>
        </row>
        <row r="48">
          <cell r="C48" t="str">
            <v>Виконано</v>
          </cell>
        </row>
        <row r="49">
          <cell r="C49" t="str">
            <v>Виконано</v>
          </cell>
        </row>
        <row r="50">
          <cell r="C50" t="str">
            <v>Виконано</v>
          </cell>
        </row>
        <row r="51">
          <cell r="C51" t="str">
            <v>Виконано</v>
          </cell>
        </row>
        <row r="52">
          <cell r="C52" t="str">
            <v>Виконано</v>
          </cell>
        </row>
        <row r="53">
          <cell r="C53" t="str">
            <v>Виконано</v>
          </cell>
        </row>
        <row r="54">
          <cell r="C54" t="str">
            <v>Виконано</v>
          </cell>
        </row>
        <row r="55">
          <cell r="C55" t="str">
            <v>Виконано</v>
          </cell>
        </row>
        <row r="56">
          <cell r="C56" t="str">
            <v>Виконано</v>
          </cell>
        </row>
        <row r="57">
          <cell r="C57" t="str">
            <v>Виконано</v>
          </cell>
        </row>
        <row r="58">
          <cell r="C58" t="str">
            <v>Виконано</v>
          </cell>
        </row>
        <row r="59">
          <cell r="C59" t="str">
            <v>Виконано</v>
          </cell>
        </row>
        <row r="60">
          <cell r="C60" t="str">
            <v>Виконано</v>
          </cell>
        </row>
        <row r="61">
          <cell r="C61" t="str">
            <v>Виконано</v>
          </cell>
        </row>
        <row r="62">
          <cell r="C62" t="str">
            <v>Виконано</v>
          </cell>
        </row>
        <row r="63">
          <cell r="C63" t="str">
            <v>Виконано</v>
          </cell>
        </row>
        <row r="64">
          <cell r="C64" t="str">
            <v>Виконано</v>
          </cell>
        </row>
        <row r="65">
          <cell r="C65" t="str">
            <v>Виконано</v>
          </cell>
        </row>
        <row r="66">
          <cell r="C66" t="str">
            <v>Виконано</v>
          </cell>
        </row>
        <row r="67">
          <cell r="C67" t="str">
            <v>Виконано</v>
          </cell>
        </row>
        <row r="68">
          <cell r="C68" t="str">
            <v>Виконано</v>
          </cell>
        </row>
        <row r="69">
          <cell r="C69" t="str">
            <v>Виконано</v>
          </cell>
        </row>
        <row r="70">
          <cell r="C70" t="str">
            <v>Виконано</v>
          </cell>
        </row>
        <row r="71">
          <cell r="C71" t="str">
            <v>Виконано</v>
          </cell>
        </row>
        <row r="72">
          <cell r="C72" t="str">
            <v>Виконано</v>
          </cell>
        </row>
        <row r="73">
          <cell r="C73" t="str">
            <v>Виконано</v>
          </cell>
        </row>
        <row r="74">
          <cell r="C74" t="str">
            <v>Виконано</v>
          </cell>
        </row>
        <row r="75">
          <cell r="C75" t="str">
            <v>Виконано</v>
          </cell>
        </row>
        <row r="76">
          <cell r="C76" t="str">
            <v>Виконано</v>
          </cell>
        </row>
        <row r="77">
          <cell r="C77" t="str">
            <v>Виконано</v>
          </cell>
        </row>
        <row r="78">
          <cell r="C78" t="str">
            <v>Виконано</v>
          </cell>
        </row>
        <row r="79">
          <cell r="C79" t="str">
            <v>Виконано</v>
          </cell>
        </row>
        <row r="80">
          <cell r="C80" t="str">
            <v>Виконано</v>
          </cell>
        </row>
        <row r="81">
          <cell r="C81" t="str">
            <v>Виконано</v>
          </cell>
        </row>
        <row r="82">
          <cell r="C82" t="str">
            <v>Виконано</v>
          </cell>
        </row>
        <row r="83">
          <cell r="C83" t="str">
            <v>Виконано</v>
          </cell>
        </row>
        <row r="84">
          <cell r="C84" t="str">
            <v>Виконано</v>
          </cell>
        </row>
        <row r="85">
          <cell r="C85" t="str">
            <v>Виконано</v>
          </cell>
        </row>
        <row r="86">
          <cell r="C86" t="str">
            <v>Виконано</v>
          </cell>
        </row>
        <row r="87">
          <cell r="C87" t="str">
            <v>Виконано</v>
          </cell>
        </row>
        <row r="88">
          <cell r="C88" t="str">
            <v>Виконано</v>
          </cell>
        </row>
        <row r="89">
          <cell r="C89" t="str">
            <v>Виконано</v>
          </cell>
        </row>
        <row r="90">
          <cell r="C90" t="str">
            <v>Виконано</v>
          </cell>
        </row>
        <row r="91">
          <cell r="C91" t="str">
            <v>Виконано</v>
          </cell>
        </row>
        <row r="92">
          <cell r="C92" t="str">
            <v>Виконано</v>
          </cell>
        </row>
        <row r="93">
          <cell r="C93" t="str">
            <v>Виконано</v>
          </cell>
        </row>
        <row r="94">
          <cell r="C94" t="str">
            <v>Виконано</v>
          </cell>
        </row>
        <row r="95">
          <cell r="C95" t="str">
            <v>Виконано</v>
          </cell>
        </row>
        <row r="96">
          <cell r="C96" t="str">
            <v>Виконано</v>
          </cell>
        </row>
        <row r="97">
          <cell r="C97" t="str">
            <v>Виконано</v>
          </cell>
        </row>
        <row r="98">
          <cell r="C98" t="str">
            <v>Виконано</v>
          </cell>
        </row>
        <row r="99">
          <cell r="C99" t="str">
            <v>Виконано</v>
          </cell>
        </row>
        <row r="100">
          <cell r="C100" t="str">
            <v>Виконано</v>
          </cell>
        </row>
        <row r="101">
          <cell r="C101" t="str">
            <v>Виконано</v>
          </cell>
        </row>
        <row r="102">
          <cell r="C102" t="str">
            <v>Виконано</v>
          </cell>
        </row>
        <row r="103">
          <cell r="C103" t="str">
            <v>Виконано</v>
          </cell>
        </row>
        <row r="104">
          <cell r="C104" t="str">
            <v>Виконано</v>
          </cell>
        </row>
        <row r="105">
          <cell r="C105" t="str">
            <v>Виконано</v>
          </cell>
        </row>
        <row r="106">
          <cell r="C106" t="str">
            <v>Виконано</v>
          </cell>
        </row>
        <row r="107">
          <cell r="C107" t="str">
            <v>Виконано</v>
          </cell>
        </row>
        <row r="108">
          <cell r="C108" t="str">
            <v>Виконано</v>
          </cell>
        </row>
        <row r="109">
          <cell r="C109" t="str">
            <v>Виконано</v>
          </cell>
        </row>
        <row r="110">
          <cell r="C110" t="str">
            <v>Виконано</v>
          </cell>
        </row>
        <row r="111">
          <cell r="C111" t="str">
            <v>Виконано</v>
          </cell>
        </row>
        <row r="112">
          <cell r="C112" t="str">
            <v>Виконано</v>
          </cell>
        </row>
        <row r="113">
          <cell r="C113" t="str">
            <v>Виконано</v>
          </cell>
        </row>
        <row r="114">
          <cell r="C114" t="str">
            <v>Виконано</v>
          </cell>
        </row>
        <row r="115">
          <cell r="C115" t="str">
            <v>Виконано</v>
          </cell>
        </row>
        <row r="116">
          <cell r="C116" t="str">
            <v>Виконано</v>
          </cell>
        </row>
        <row r="117">
          <cell r="C117" t="str">
            <v>Виконано</v>
          </cell>
        </row>
        <row r="118">
          <cell r="C118" t="str">
            <v>Виконано</v>
          </cell>
        </row>
        <row r="119">
          <cell r="C119" t="str">
            <v>Виконано</v>
          </cell>
        </row>
        <row r="120">
          <cell r="C120" t="str">
            <v>Виконано</v>
          </cell>
        </row>
        <row r="121">
          <cell r="C121" t="str">
            <v>Виконано</v>
          </cell>
        </row>
        <row r="122">
          <cell r="C122" t="str">
            <v>Виконано</v>
          </cell>
        </row>
        <row r="123">
          <cell r="C123" t="str">
            <v>Виконано</v>
          </cell>
        </row>
        <row r="124">
          <cell r="C124" t="str">
            <v>Виконано</v>
          </cell>
        </row>
        <row r="125">
          <cell r="C125" t="str">
            <v>Виконано</v>
          </cell>
        </row>
        <row r="126">
          <cell r="C126" t="str">
            <v>Виконано</v>
          </cell>
        </row>
        <row r="127">
          <cell r="C127" t="str">
            <v>Виконано</v>
          </cell>
        </row>
        <row r="128">
          <cell r="C128" t="str">
            <v>Виконано</v>
          </cell>
        </row>
        <row r="129">
          <cell r="C129" t="str">
            <v>Виконано</v>
          </cell>
        </row>
        <row r="130">
          <cell r="C130" t="str">
            <v>Виконано</v>
          </cell>
        </row>
        <row r="131">
          <cell r="C131" t="str">
            <v>Виконано</v>
          </cell>
        </row>
        <row r="132">
          <cell r="C132" t="str">
            <v>Виконано</v>
          </cell>
        </row>
        <row r="133">
          <cell r="C133" t="str">
            <v>Виконано</v>
          </cell>
        </row>
        <row r="134">
          <cell r="C134" t="str">
            <v>Виконано</v>
          </cell>
        </row>
        <row r="135">
          <cell r="C135" t="str">
            <v>Виконано</v>
          </cell>
        </row>
        <row r="136">
          <cell r="C136" t="str">
            <v>Виконано</v>
          </cell>
        </row>
        <row r="137">
          <cell r="C137" t="str">
            <v>Виконано</v>
          </cell>
        </row>
        <row r="138">
          <cell r="C138" t="str">
            <v>Виконано</v>
          </cell>
        </row>
        <row r="139">
          <cell r="C139" t="str">
            <v>Виконано</v>
          </cell>
        </row>
        <row r="140">
          <cell r="C140" t="str">
            <v>Виконано</v>
          </cell>
        </row>
        <row r="141">
          <cell r="C141" t="str">
            <v>Виконано</v>
          </cell>
        </row>
        <row r="142">
          <cell r="C142" t="str">
            <v>Виконано</v>
          </cell>
        </row>
        <row r="143">
          <cell r="C143" t="str">
            <v>Виконано</v>
          </cell>
        </row>
        <row r="144">
          <cell r="C144" t="str">
            <v>Виконано</v>
          </cell>
        </row>
        <row r="145">
          <cell r="C145" t="str">
            <v>Виконано</v>
          </cell>
        </row>
        <row r="146">
          <cell r="C146" t="str">
            <v>Виконано</v>
          </cell>
        </row>
        <row r="147">
          <cell r="C147" t="str">
            <v>Виконано</v>
          </cell>
        </row>
        <row r="148">
          <cell r="C148" t="str">
            <v>Виконано</v>
          </cell>
        </row>
        <row r="149">
          <cell r="C149" t="str">
            <v>Виконано</v>
          </cell>
        </row>
        <row r="150">
          <cell r="C150" t="str">
            <v>Виконано</v>
          </cell>
        </row>
        <row r="151">
          <cell r="C151" t="str">
            <v>Виконано</v>
          </cell>
        </row>
        <row r="152">
          <cell r="C152" t="str">
            <v>Виконано</v>
          </cell>
        </row>
        <row r="153">
          <cell r="C153" t="str">
            <v>Виконано</v>
          </cell>
        </row>
        <row r="154">
          <cell r="C154" t="str">
            <v>Виконано</v>
          </cell>
        </row>
        <row r="155">
          <cell r="C155" t="str">
            <v>Виконано</v>
          </cell>
        </row>
        <row r="156">
          <cell r="C156" t="str">
            <v>Виконано</v>
          </cell>
        </row>
        <row r="157">
          <cell r="C157" t="str">
            <v>Виконано</v>
          </cell>
        </row>
        <row r="158">
          <cell r="C158" t="str">
            <v>Виконано</v>
          </cell>
        </row>
        <row r="159">
          <cell r="C159" t="str">
            <v>Виконано</v>
          </cell>
        </row>
        <row r="160">
          <cell r="C160" t="str">
            <v>Виконано</v>
          </cell>
        </row>
        <row r="161">
          <cell r="C161" t="str">
            <v>Виконано</v>
          </cell>
        </row>
        <row r="162">
          <cell r="C162" t="str">
            <v>Виконано</v>
          </cell>
        </row>
        <row r="163">
          <cell r="C163" t="str">
            <v>Виконано</v>
          </cell>
        </row>
        <row r="164">
          <cell r="C164" t="str">
            <v>Виконано</v>
          </cell>
        </row>
        <row r="165">
          <cell r="C165" t="str">
            <v>Виконано</v>
          </cell>
        </row>
        <row r="166">
          <cell r="C166" t="str">
            <v>Виконано</v>
          </cell>
        </row>
        <row r="167">
          <cell r="C167" t="str">
            <v>Виконано</v>
          </cell>
        </row>
        <row r="168">
          <cell r="C168" t="str">
            <v>Виконано</v>
          </cell>
        </row>
        <row r="169">
          <cell r="C169" t="str">
            <v>Виконано</v>
          </cell>
        </row>
        <row r="170">
          <cell r="C170" t="str">
            <v>Виконано</v>
          </cell>
        </row>
        <row r="171">
          <cell r="C171" t="str">
            <v>Виконано</v>
          </cell>
        </row>
        <row r="172">
          <cell r="C172" t="str">
            <v>Виконано</v>
          </cell>
        </row>
        <row r="173">
          <cell r="C173" t="str">
            <v>Виконано</v>
          </cell>
        </row>
        <row r="174">
          <cell r="C174" t="str">
            <v>Виконано</v>
          </cell>
        </row>
        <row r="175">
          <cell r="C175" t="str">
            <v>Виконано</v>
          </cell>
        </row>
        <row r="176">
          <cell r="C176" t="str">
            <v>Виконано</v>
          </cell>
        </row>
        <row r="177">
          <cell r="C177" t="str">
            <v>Виконано</v>
          </cell>
        </row>
        <row r="178">
          <cell r="C178" t="str">
            <v>Виконано</v>
          </cell>
        </row>
        <row r="179">
          <cell r="C179" t="str">
            <v>Виконано</v>
          </cell>
        </row>
        <row r="180">
          <cell r="C180" t="str">
            <v>Виконано</v>
          </cell>
        </row>
        <row r="181">
          <cell r="C181" t="str">
            <v>Виконано</v>
          </cell>
        </row>
        <row r="182">
          <cell r="C182" t="str">
            <v>Виконано</v>
          </cell>
        </row>
        <row r="183">
          <cell r="C183" t="str">
            <v>Виконано</v>
          </cell>
        </row>
        <row r="184">
          <cell r="C184" t="str">
            <v>Виконано</v>
          </cell>
        </row>
        <row r="185">
          <cell r="C185" t="str">
            <v>Виконано</v>
          </cell>
        </row>
        <row r="186">
          <cell r="C186" t="str">
            <v>Виконано</v>
          </cell>
        </row>
        <row r="187">
          <cell r="C187" t="str">
            <v>Виконано</v>
          </cell>
        </row>
        <row r="188">
          <cell r="C188" t="str">
            <v>Виконано</v>
          </cell>
        </row>
        <row r="189">
          <cell r="C189" t="str">
            <v>Виконано</v>
          </cell>
        </row>
        <row r="190">
          <cell r="C190" t="str">
            <v>Виконано</v>
          </cell>
        </row>
        <row r="191">
          <cell r="C191" t="str">
            <v>Виконано</v>
          </cell>
        </row>
        <row r="192">
          <cell r="C192" t="str">
            <v>Виконано</v>
          </cell>
        </row>
        <row r="193">
          <cell r="C193" t="str">
            <v>Виконано</v>
          </cell>
        </row>
        <row r="194">
          <cell r="C194" t="str">
            <v>Виконано</v>
          </cell>
        </row>
        <row r="195">
          <cell r="C195" t="str">
            <v>Виконано</v>
          </cell>
        </row>
        <row r="196">
          <cell r="C196" t="str">
            <v>Виконано</v>
          </cell>
        </row>
        <row r="197">
          <cell r="C197" t="str">
            <v>Виконано</v>
          </cell>
        </row>
        <row r="198">
          <cell r="C198" t="str">
            <v>Виконано</v>
          </cell>
        </row>
        <row r="199">
          <cell r="C199" t="str">
            <v>Виконано</v>
          </cell>
        </row>
        <row r="200">
          <cell r="C200" t="str">
            <v>Виконано</v>
          </cell>
        </row>
        <row r="201">
          <cell r="C201" t="str">
            <v>Виконано</v>
          </cell>
        </row>
        <row r="202">
          <cell r="C202" t="str">
            <v>Виконано</v>
          </cell>
        </row>
        <row r="203">
          <cell r="C203" t="str">
            <v>Виконано</v>
          </cell>
        </row>
        <row r="204">
          <cell r="C204" t="str">
            <v>Виконано</v>
          </cell>
        </row>
        <row r="205">
          <cell r="C205" t="str">
            <v>Виконано</v>
          </cell>
        </row>
        <row r="206">
          <cell r="C206" t="str">
            <v>Виконано</v>
          </cell>
        </row>
        <row r="207">
          <cell r="C207" t="str">
            <v>Виконано</v>
          </cell>
        </row>
        <row r="208">
          <cell r="C208" t="str">
            <v>Виконано</v>
          </cell>
        </row>
        <row r="209">
          <cell r="C209" t="str">
            <v>Виконано</v>
          </cell>
        </row>
        <row r="210">
          <cell r="C210" t="str">
            <v>Виконано</v>
          </cell>
        </row>
        <row r="211">
          <cell r="C211" t="str">
            <v>Виконано</v>
          </cell>
        </row>
        <row r="212">
          <cell r="C212" t="str">
            <v>Виконано</v>
          </cell>
        </row>
        <row r="213">
          <cell r="C213" t="str">
            <v>Виконано</v>
          </cell>
        </row>
        <row r="214">
          <cell r="C214" t="str">
            <v>Виконано</v>
          </cell>
        </row>
        <row r="215">
          <cell r="C215" t="str">
            <v>Виконано</v>
          </cell>
        </row>
        <row r="216">
          <cell r="C216" t="str">
            <v>Виконано</v>
          </cell>
        </row>
        <row r="217">
          <cell r="C217" t="str">
            <v>Виконано</v>
          </cell>
        </row>
        <row r="218">
          <cell r="C218" t="str">
            <v>Виконано</v>
          </cell>
        </row>
        <row r="219">
          <cell r="C219" t="str">
            <v>Виконано</v>
          </cell>
        </row>
        <row r="220">
          <cell r="C220" t="str">
            <v>Виконано</v>
          </cell>
        </row>
        <row r="221">
          <cell r="C221" t="str">
            <v>Виконано</v>
          </cell>
        </row>
        <row r="222">
          <cell r="C222" t="str">
            <v>Виконано</v>
          </cell>
        </row>
        <row r="223">
          <cell r="C223" t="str">
            <v>Виконано</v>
          </cell>
        </row>
        <row r="224">
          <cell r="C224" t="str">
            <v>Виконано</v>
          </cell>
        </row>
        <row r="225">
          <cell r="C225" t="str">
            <v>Виконано</v>
          </cell>
        </row>
        <row r="226">
          <cell r="C226" t="str">
            <v>Виконано</v>
          </cell>
        </row>
        <row r="227">
          <cell r="C227" t="str">
            <v>Виконано</v>
          </cell>
        </row>
        <row r="228">
          <cell r="C228" t="str">
            <v>Виконано</v>
          </cell>
        </row>
        <row r="229">
          <cell r="C229" t="str">
            <v>Виконано</v>
          </cell>
        </row>
        <row r="230">
          <cell r="C230" t="str">
            <v>Виконано</v>
          </cell>
        </row>
        <row r="231">
          <cell r="C231" t="str">
            <v>Виконано</v>
          </cell>
        </row>
        <row r="232">
          <cell r="C232" t="str">
            <v>Виконано</v>
          </cell>
        </row>
        <row r="233">
          <cell r="C233" t="str">
            <v>Виконано</v>
          </cell>
        </row>
        <row r="234">
          <cell r="C234" t="str">
            <v>Виконано</v>
          </cell>
        </row>
        <row r="235">
          <cell r="C235" t="str">
            <v>Виконано</v>
          </cell>
        </row>
        <row r="236">
          <cell r="C236" t="str">
            <v>Виконано</v>
          </cell>
        </row>
        <row r="237">
          <cell r="C237" t="str">
            <v>Виконано</v>
          </cell>
        </row>
        <row r="238">
          <cell r="C238" t="str">
            <v>Виконано</v>
          </cell>
        </row>
        <row r="239">
          <cell r="C239" t="str">
            <v>Виконано</v>
          </cell>
        </row>
        <row r="240">
          <cell r="C240" t="str">
            <v>Виконано</v>
          </cell>
        </row>
        <row r="241">
          <cell r="C241" t="str">
            <v>Виконано</v>
          </cell>
        </row>
        <row r="242">
          <cell r="C242" t="str">
            <v>Виконано</v>
          </cell>
        </row>
        <row r="243">
          <cell r="C243" t="str">
            <v>Виконано</v>
          </cell>
        </row>
        <row r="244">
          <cell r="C244" t="str">
            <v>Виконано</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y.zakupivli.pro/remote/dispatcher/state_purchase_view/63597265" TargetMode="External"/><Relationship Id="rId299" Type="http://schemas.openxmlformats.org/officeDocument/2006/relationships/hyperlink" Target="https://my.zakupivli.pro/remote/dispatcher/state_purchase_view/62308266" TargetMode="External"/><Relationship Id="rId303" Type="http://schemas.openxmlformats.org/officeDocument/2006/relationships/hyperlink" Target="https://my.zakupivli.pro/remote/dispatcher/state_purchase_view/63570886" TargetMode="External"/><Relationship Id="rId21" Type="http://schemas.openxmlformats.org/officeDocument/2006/relationships/hyperlink" Target="https://my.zakupivli.pro/remote/dispatcher/state_purchase_view/60872531" TargetMode="External"/><Relationship Id="rId42" Type="http://schemas.openxmlformats.org/officeDocument/2006/relationships/hyperlink" Target="https://my.zakupivli.pro/remote/dispatcher/state_purchase_view/58983892" TargetMode="External"/><Relationship Id="rId63" Type="http://schemas.openxmlformats.org/officeDocument/2006/relationships/hyperlink" Target="https://my.zakupivli.pro/remote/dispatcher/state_purchase_view/60409680" TargetMode="External"/><Relationship Id="rId84" Type="http://schemas.openxmlformats.org/officeDocument/2006/relationships/hyperlink" Target="https://my.zakupivli.pro/remote/dispatcher/state_purchase_view/57843555" TargetMode="External"/><Relationship Id="rId138" Type="http://schemas.openxmlformats.org/officeDocument/2006/relationships/hyperlink" Target="https://my.zakupivli.pro/remote/dispatcher/state_purchase_view/57317206" TargetMode="External"/><Relationship Id="rId159" Type="http://schemas.openxmlformats.org/officeDocument/2006/relationships/hyperlink" Target="https://my.zakupivli.pro/remote/dispatcher/state_purchase_view/60800698" TargetMode="External"/><Relationship Id="rId324" Type="http://schemas.openxmlformats.org/officeDocument/2006/relationships/hyperlink" Target="https://my.zakupivli.pro/remote/dispatcher/state_purchase_view/58589299" TargetMode="External"/><Relationship Id="rId345" Type="http://schemas.openxmlformats.org/officeDocument/2006/relationships/hyperlink" Target="https://my.zakupivli.pro/remote/dispatcher/state_purchase_view/61911628" TargetMode="External"/><Relationship Id="rId170" Type="http://schemas.openxmlformats.org/officeDocument/2006/relationships/hyperlink" Target="https://my.zakupivli.pro/remote/dispatcher/state_purchase_view/63515577" TargetMode="External"/><Relationship Id="rId191" Type="http://schemas.openxmlformats.org/officeDocument/2006/relationships/hyperlink" Target="https://my.zakupivli.pro/remote/dispatcher/state_purchase_view/60827664" TargetMode="External"/><Relationship Id="rId205" Type="http://schemas.openxmlformats.org/officeDocument/2006/relationships/hyperlink" Target="https://my.zakupivli.pro/remote/dispatcher/state_purchase_view/63599691" TargetMode="External"/><Relationship Id="rId226" Type="http://schemas.openxmlformats.org/officeDocument/2006/relationships/hyperlink" Target="https://my.zakupivli.pro/remote/dispatcher/state_purchase_view/62303346" TargetMode="External"/><Relationship Id="rId247" Type="http://schemas.openxmlformats.org/officeDocument/2006/relationships/hyperlink" Target="https://my.zakupivli.pro/remote/dispatcher/state_purchase_view/58909655" TargetMode="External"/><Relationship Id="rId107" Type="http://schemas.openxmlformats.org/officeDocument/2006/relationships/hyperlink" Target="https://my.zakupivli.pro/remote/dispatcher/state_purchase_view/58293492" TargetMode="External"/><Relationship Id="rId268" Type="http://schemas.openxmlformats.org/officeDocument/2006/relationships/hyperlink" Target="https://my.zakupivli.pro/remote/dispatcher/state_purchase_view/63597636" TargetMode="External"/><Relationship Id="rId289" Type="http://schemas.openxmlformats.org/officeDocument/2006/relationships/hyperlink" Target="https://my.zakupivli.pro/remote/dispatcher/state_purchase_view/60970318" TargetMode="External"/><Relationship Id="rId11" Type="http://schemas.openxmlformats.org/officeDocument/2006/relationships/hyperlink" Target="https://my.zakupivli.pro/remote/dispatcher/state_purchase_view/60023998" TargetMode="External"/><Relationship Id="rId32" Type="http://schemas.openxmlformats.org/officeDocument/2006/relationships/hyperlink" Target="https://my.zakupivli.pro/remote/dispatcher/state_purchase_view/59864650" TargetMode="External"/><Relationship Id="rId53" Type="http://schemas.openxmlformats.org/officeDocument/2006/relationships/hyperlink" Target="https://my.zakupivli.pro/remote/dispatcher/state_purchase_view/60340943" TargetMode="External"/><Relationship Id="rId74" Type="http://schemas.openxmlformats.org/officeDocument/2006/relationships/hyperlink" Target="https://my.zakupivli.pro/remote/dispatcher/state_purchase_view/62300524" TargetMode="External"/><Relationship Id="rId128" Type="http://schemas.openxmlformats.org/officeDocument/2006/relationships/hyperlink" Target="https://my.zakupivli.pro/remote/dispatcher/state_purchase_view/58596230" TargetMode="External"/><Relationship Id="rId149" Type="http://schemas.openxmlformats.org/officeDocument/2006/relationships/hyperlink" Target="https://my.zakupivli.pro/remote/dispatcher/state_purchase_view/60970204" TargetMode="External"/><Relationship Id="rId314" Type="http://schemas.openxmlformats.org/officeDocument/2006/relationships/hyperlink" Target="https://my.zakupivli.pro/remote/dispatcher/state_purchase_view/57784615" TargetMode="External"/><Relationship Id="rId335" Type="http://schemas.openxmlformats.org/officeDocument/2006/relationships/hyperlink" Target="https://my.zakupivli.pro/remote/dispatcher/state_purchase_view/60969441" TargetMode="External"/><Relationship Id="rId356" Type="http://schemas.openxmlformats.org/officeDocument/2006/relationships/hyperlink" Target="https://my.zakupivli.pro/remote/dispatcher/state_purchase_view/56237566" TargetMode="External"/><Relationship Id="rId5" Type="http://schemas.openxmlformats.org/officeDocument/2006/relationships/hyperlink" Target="https://my.zakupivli.pro/remote/dispatcher/state_purchase_view/57026663" TargetMode="External"/><Relationship Id="rId95" Type="http://schemas.openxmlformats.org/officeDocument/2006/relationships/hyperlink" Target="https://my.zakupivli.pro/remote/dispatcher/state_purchase_view/60085389" TargetMode="External"/><Relationship Id="rId160" Type="http://schemas.openxmlformats.org/officeDocument/2006/relationships/hyperlink" Target="https://my.zakupivli.pro/remote/dispatcher/state_purchase_view/63137816" TargetMode="External"/><Relationship Id="rId181" Type="http://schemas.openxmlformats.org/officeDocument/2006/relationships/hyperlink" Target="https://my.zakupivli.pro/remote/dispatcher/state_purchase_view/58035563" TargetMode="External"/><Relationship Id="rId216" Type="http://schemas.openxmlformats.org/officeDocument/2006/relationships/hyperlink" Target="https://my.zakupivli.pro/remote/dispatcher/state_purchase_view/56599715" TargetMode="External"/><Relationship Id="rId237" Type="http://schemas.openxmlformats.org/officeDocument/2006/relationships/hyperlink" Target="https://my.zakupivli.pro/remote/dispatcher/state_purchase_view/60332167" TargetMode="External"/><Relationship Id="rId258" Type="http://schemas.openxmlformats.org/officeDocument/2006/relationships/hyperlink" Target="https://my.zakupivli.pro/remote/dispatcher/state_purchase_view/57017052" TargetMode="External"/><Relationship Id="rId279" Type="http://schemas.openxmlformats.org/officeDocument/2006/relationships/hyperlink" Target="https://my.zakupivli.pro/remote/dispatcher/state_purchase_view/58128879" TargetMode="External"/><Relationship Id="rId22" Type="http://schemas.openxmlformats.org/officeDocument/2006/relationships/hyperlink" Target="https://my.zakupivli.pro/remote/dispatcher/state_purchase_view/60874108" TargetMode="External"/><Relationship Id="rId43" Type="http://schemas.openxmlformats.org/officeDocument/2006/relationships/hyperlink" Target="https://my.zakupivli.pro/remote/dispatcher/state_purchase_view/58960399" TargetMode="External"/><Relationship Id="rId64" Type="http://schemas.openxmlformats.org/officeDocument/2006/relationships/hyperlink" Target="https://my.zakupivli.pro/remote/dispatcher/state_purchase_view/60872350" TargetMode="External"/><Relationship Id="rId118" Type="http://schemas.openxmlformats.org/officeDocument/2006/relationships/hyperlink" Target="https://my.zakupivli.pro/remote/dispatcher/state_purchase_view/63570316" TargetMode="External"/><Relationship Id="rId139" Type="http://schemas.openxmlformats.org/officeDocument/2006/relationships/hyperlink" Target="https://my.zakupivli.pro/remote/dispatcher/state_purchase_view/58334799" TargetMode="External"/><Relationship Id="rId290" Type="http://schemas.openxmlformats.org/officeDocument/2006/relationships/hyperlink" Target="https://my.zakupivli.pro/remote/dispatcher/state_purchase_view/60024378" TargetMode="External"/><Relationship Id="rId304" Type="http://schemas.openxmlformats.org/officeDocument/2006/relationships/hyperlink" Target="https://my.zakupivli.pro/remote/dispatcher/state_purchase_view/63750318" TargetMode="External"/><Relationship Id="rId325" Type="http://schemas.openxmlformats.org/officeDocument/2006/relationships/hyperlink" Target="https://my.zakupivli.pro/remote/dispatcher/state_purchase_view/58596426" TargetMode="External"/><Relationship Id="rId346" Type="http://schemas.openxmlformats.org/officeDocument/2006/relationships/hyperlink" Target="https://my.zakupivli.pro/remote/dispatcher/state_purchase_view/62370705" TargetMode="External"/><Relationship Id="rId85" Type="http://schemas.openxmlformats.org/officeDocument/2006/relationships/hyperlink" Target="https://my.zakupivli.pro/remote/dispatcher/state_purchase_view/56892131" TargetMode="External"/><Relationship Id="rId150" Type="http://schemas.openxmlformats.org/officeDocument/2006/relationships/hyperlink" Target="https://my.zakupivli.pro/remote/dispatcher/state_purchase_view/60972093" TargetMode="External"/><Relationship Id="rId171" Type="http://schemas.openxmlformats.org/officeDocument/2006/relationships/hyperlink" Target="https://my.zakupivli.pro/remote/dispatcher/state_purchase_view/58155484" TargetMode="External"/><Relationship Id="rId192" Type="http://schemas.openxmlformats.org/officeDocument/2006/relationships/hyperlink" Target="https://my.zakupivli.pro/remote/dispatcher/state_purchase_view/60872686" TargetMode="External"/><Relationship Id="rId206" Type="http://schemas.openxmlformats.org/officeDocument/2006/relationships/hyperlink" Target="https://my.zakupivli.pro/remote/dispatcher/state_purchase_view/64298125" TargetMode="External"/><Relationship Id="rId227" Type="http://schemas.openxmlformats.org/officeDocument/2006/relationships/hyperlink" Target="https://my.zakupivli.pro/remote/dispatcher/state_purchase_view/60827393" TargetMode="External"/><Relationship Id="rId248" Type="http://schemas.openxmlformats.org/officeDocument/2006/relationships/hyperlink" Target="https://my.zakupivli.pro/remote/dispatcher/state_purchase_view/58957607" TargetMode="External"/><Relationship Id="rId269" Type="http://schemas.openxmlformats.org/officeDocument/2006/relationships/hyperlink" Target="https://my.zakupivli.pro/remote/dispatcher/state_purchase_view/60871815" TargetMode="External"/><Relationship Id="rId12" Type="http://schemas.openxmlformats.org/officeDocument/2006/relationships/hyperlink" Target="https://my.zakupivli.pro/remote/dispatcher/state_purchase_view/60032648" TargetMode="External"/><Relationship Id="rId33" Type="http://schemas.openxmlformats.org/officeDocument/2006/relationships/hyperlink" Target="https://my.zakupivli.pro/remote/dispatcher/state_purchase_view/61910763" TargetMode="External"/><Relationship Id="rId108" Type="http://schemas.openxmlformats.org/officeDocument/2006/relationships/hyperlink" Target="https://my.zakupivli.pro/remote/dispatcher/state_purchase_view/58164770" TargetMode="External"/><Relationship Id="rId129" Type="http://schemas.openxmlformats.org/officeDocument/2006/relationships/hyperlink" Target="https://my.zakupivli.pro/remote/dispatcher/state_purchase_view/59440870" TargetMode="External"/><Relationship Id="rId280" Type="http://schemas.openxmlformats.org/officeDocument/2006/relationships/hyperlink" Target="https://my.zakupivli.pro/remote/dispatcher/state_purchase_view/59443957" TargetMode="External"/><Relationship Id="rId315" Type="http://schemas.openxmlformats.org/officeDocument/2006/relationships/hyperlink" Target="https://my.zakupivli.pro/remote/dispatcher/state_purchase_view/57260360" TargetMode="External"/><Relationship Id="rId336" Type="http://schemas.openxmlformats.org/officeDocument/2006/relationships/hyperlink" Target="https://my.zakupivli.pro/remote/dispatcher/state_purchase_view/60828611" TargetMode="External"/><Relationship Id="rId357" Type="http://schemas.openxmlformats.org/officeDocument/2006/relationships/printerSettings" Target="../printerSettings/printerSettings1.bin"/><Relationship Id="rId54" Type="http://schemas.openxmlformats.org/officeDocument/2006/relationships/hyperlink" Target="https://my.zakupivli.pro/remote/dispatcher/state_purchase_view/60341472" TargetMode="External"/><Relationship Id="rId75" Type="http://schemas.openxmlformats.org/officeDocument/2006/relationships/hyperlink" Target="https://my.zakupivli.pro/remote/dispatcher/state_purchase_view/62648673" TargetMode="External"/><Relationship Id="rId96" Type="http://schemas.openxmlformats.org/officeDocument/2006/relationships/hyperlink" Target="https://my.zakupivli.pro/remote/dispatcher/state_purchase_view/57016181" TargetMode="External"/><Relationship Id="rId140" Type="http://schemas.openxmlformats.org/officeDocument/2006/relationships/hyperlink" Target="https://my.zakupivli.pro/remote/dispatcher/state_purchase_view/58187305" TargetMode="External"/><Relationship Id="rId161" Type="http://schemas.openxmlformats.org/officeDocument/2006/relationships/hyperlink" Target="https://my.zakupivli.pro/remote/dispatcher/state_purchase_view/62301036" TargetMode="External"/><Relationship Id="rId182" Type="http://schemas.openxmlformats.org/officeDocument/2006/relationships/hyperlink" Target="https://my.zakupivli.pro/remote/dispatcher/state_purchase_view/57127831" TargetMode="External"/><Relationship Id="rId217" Type="http://schemas.openxmlformats.org/officeDocument/2006/relationships/hyperlink" Target="https://my.zakupivli.pro/remote/dispatcher/state_purchase_view/56941297" TargetMode="External"/><Relationship Id="rId6" Type="http://schemas.openxmlformats.org/officeDocument/2006/relationships/hyperlink" Target="https://my.zakupivli.pro/remote/dispatcher/state_purchase_view/57014350" TargetMode="External"/><Relationship Id="rId238" Type="http://schemas.openxmlformats.org/officeDocument/2006/relationships/hyperlink" Target="https://my.zakupivli.pro/remote/dispatcher/state_purchase_view/60328547" TargetMode="External"/><Relationship Id="rId259" Type="http://schemas.openxmlformats.org/officeDocument/2006/relationships/hyperlink" Target="https://my.zakupivli.pro/remote/dispatcher/state_purchase_view/57025856" TargetMode="External"/><Relationship Id="rId23" Type="http://schemas.openxmlformats.org/officeDocument/2006/relationships/hyperlink" Target="https://my.zakupivli.pro/remote/dispatcher/state_purchase_view/60874974" TargetMode="External"/><Relationship Id="rId119" Type="http://schemas.openxmlformats.org/officeDocument/2006/relationships/hyperlink" Target="https://my.zakupivli.pro/remote/dispatcher/state_purchase_view/64762580" TargetMode="External"/><Relationship Id="rId270" Type="http://schemas.openxmlformats.org/officeDocument/2006/relationships/hyperlink" Target="https://my.zakupivli.pro/remote/dispatcher/state_purchase_view/61212640" TargetMode="External"/><Relationship Id="rId291" Type="http://schemas.openxmlformats.org/officeDocument/2006/relationships/hyperlink" Target="https://my.zakupivli.pro/remote/dispatcher/state_purchase_view/60023052" TargetMode="External"/><Relationship Id="rId305" Type="http://schemas.openxmlformats.org/officeDocument/2006/relationships/hyperlink" Target="https://my.zakupivli.pro/remote/dispatcher/state_purchase_view/64297551" TargetMode="External"/><Relationship Id="rId326" Type="http://schemas.openxmlformats.org/officeDocument/2006/relationships/hyperlink" Target="https://my.zakupivli.pro/remote/dispatcher/state_purchase_view/58596903" TargetMode="External"/><Relationship Id="rId347" Type="http://schemas.openxmlformats.org/officeDocument/2006/relationships/hyperlink" Target="https://my.zakupivli.pro/remote/dispatcher/state_purchase_view/62487691" TargetMode="External"/><Relationship Id="rId44" Type="http://schemas.openxmlformats.org/officeDocument/2006/relationships/hyperlink" Target="https://my.zakupivli.pro/remote/dispatcher/state_purchase_view/59340791" TargetMode="External"/><Relationship Id="rId65" Type="http://schemas.openxmlformats.org/officeDocument/2006/relationships/hyperlink" Target="https://my.zakupivli.pro/remote/dispatcher/state_purchase_view/58128002" TargetMode="External"/><Relationship Id="rId86" Type="http://schemas.openxmlformats.org/officeDocument/2006/relationships/hyperlink" Target="https://my.zakupivli.pro/remote/dispatcher/state_purchase_view/56713097" TargetMode="External"/><Relationship Id="rId130" Type="http://schemas.openxmlformats.org/officeDocument/2006/relationships/hyperlink" Target="https://my.zakupivli.pro/remote/dispatcher/state_purchase_view/59441451" TargetMode="External"/><Relationship Id="rId151" Type="http://schemas.openxmlformats.org/officeDocument/2006/relationships/hyperlink" Target="https://my.zakupivli.pro/remote/dispatcher/state_purchase_view/60332009" TargetMode="External"/><Relationship Id="rId172" Type="http://schemas.openxmlformats.org/officeDocument/2006/relationships/hyperlink" Target="https://my.zakupivli.pro/remote/dispatcher/state_purchase_view/64189075" TargetMode="External"/><Relationship Id="rId193" Type="http://schemas.openxmlformats.org/officeDocument/2006/relationships/hyperlink" Target="https://my.zakupivli.pro/remote/dispatcher/state_purchase_view/60391016" TargetMode="External"/><Relationship Id="rId207" Type="http://schemas.openxmlformats.org/officeDocument/2006/relationships/hyperlink" Target="https://my.zakupivli.pro/remote/dispatcher/state_purchase_view/64299725" TargetMode="External"/><Relationship Id="rId228" Type="http://schemas.openxmlformats.org/officeDocument/2006/relationships/hyperlink" Target="https://my.zakupivli.pro/remote/dispatcher/state_purchase_view/60827858" TargetMode="External"/><Relationship Id="rId249" Type="http://schemas.openxmlformats.org/officeDocument/2006/relationships/hyperlink" Target="https://my.zakupivli.pro/remote/dispatcher/state_purchase_view/58596021" TargetMode="External"/><Relationship Id="rId13" Type="http://schemas.openxmlformats.org/officeDocument/2006/relationships/hyperlink" Target="https://my.zakupivli.pro/remote/dispatcher/state_purchase_view/59443200" TargetMode="External"/><Relationship Id="rId109" Type="http://schemas.openxmlformats.org/officeDocument/2006/relationships/hyperlink" Target="https://my.zakupivli.pro/remote/dispatcher/state_purchase_view/58123196" TargetMode="External"/><Relationship Id="rId260" Type="http://schemas.openxmlformats.org/officeDocument/2006/relationships/hyperlink" Target="https://my.zakupivli.pro/remote/dispatcher/state_purchase_view/56831806" TargetMode="External"/><Relationship Id="rId281" Type="http://schemas.openxmlformats.org/officeDocument/2006/relationships/hyperlink" Target="https://my.zakupivli.pro/remote/dispatcher/state_purchase_view/58960829" TargetMode="External"/><Relationship Id="rId316" Type="http://schemas.openxmlformats.org/officeDocument/2006/relationships/hyperlink" Target="https://my.zakupivli.pro/remote/dispatcher/state_purchase_view/58123361" TargetMode="External"/><Relationship Id="rId337" Type="http://schemas.openxmlformats.org/officeDocument/2006/relationships/hyperlink" Target="https://my.zakupivli.pro/remote/dispatcher/state_purchase_view/59898426" TargetMode="External"/><Relationship Id="rId34" Type="http://schemas.openxmlformats.org/officeDocument/2006/relationships/hyperlink" Target="https://my.zakupivli.pro/remote/dispatcher/state_purchase_view/62303100" TargetMode="External"/><Relationship Id="rId55" Type="http://schemas.openxmlformats.org/officeDocument/2006/relationships/hyperlink" Target="https://my.zakupivli.pro/remote/dispatcher/state_purchase_view/56922156" TargetMode="External"/><Relationship Id="rId76" Type="http://schemas.openxmlformats.org/officeDocument/2006/relationships/hyperlink" Target="https://my.zakupivli.pro/remote/dispatcher/state_purchase_view/61228385" TargetMode="External"/><Relationship Id="rId97" Type="http://schemas.openxmlformats.org/officeDocument/2006/relationships/hyperlink" Target="https://my.zakupivli.pro/remote/dispatcher/state_purchase_view/57166520" TargetMode="External"/><Relationship Id="rId120" Type="http://schemas.openxmlformats.org/officeDocument/2006/relationships/hyperlink" Target="https://my.zakupivli.pro/remote/dispatcher/state_purchase_view/64888974" TargetMode="External"/><Relationship Id="rId141" Type="http://schemas.openxmlformats.org/officeDocument/2006/relationships/hyperlink" Target="https://my.zakupivli.pro/remote/dispatcher/state_purchase_view/58221934" TargetMode="External"/><Relationship Id="rId7" Type="http://schemas.openxmlformats.org/officeDocument/2006/relationships/hyperlink" Target="https://my.zakupivli.pro/remote/dispatcher/state_purchase_view/56973812" TargetMode="External"/><Relationship Id="rId162" Type="http://schemas.openxmlformats.org/officeDocument/2006/relationships/hyperlink" Target="https://my.zakupivli.pro/remote/dispatcher/state_purchase_view/64262594" TargetMode="External"/><Relationship Id="rId183" Type="http://schemas.openxmlformats.org/officeDocument/2006/relationships/hyperlink" Target="https://my.zakupivli.pro/remote/dispatcher/state_purchase_view/58164877" TargetMode="External"/><Relationship Id="rId218" Type="http://schemas.openxmlformats.org/officeDocument/2006/relationships/hyperlink" Target="https://my.zakupivli.pro/remote/dispatcher/state_purchase_view/56974514" TargetMode="External"/><Relationship Id="rId239" Type="http://schemas.openxmlformats.org/officeDocument/2006/relationships/hyperlink" Target="https://my.zakupivli.pro/remote/dispatcher/state_purchase_view/60332705" TargetMode="External"/><Relationship Id="rId250" Type="http://schemas.openxmlformats.org/officeDocument/2006/relationships/hyperlink" Target="https://my.zakupivli.pro/remote/dispatcher/state_purchase_view/58589482" TargetMode="External"/><Relationship Id="rId271" Type="http://schemas.openxmlformats.org/officeDocument/2006/relationships/hyperlink" Target="https://my.zakupivli.pro/remote/dispatcher/state_purchase_view/65027617" TargetMode="External"/><Relationship Id="rId292" Type="http://schemas.openxmlformats.org/officeDocument/2006/relationships/hyperlink" Target="https://my.zakupivli.pro/remote/dispatcher/state_purchase_view/59821703" TargetMode="External"/><Relationship Id="rId306" Type="http://schemas.openxmlformats.org/officeDocument/2006/relationships/hyperlink" Target="https://my.zakupivli.pro/remote/dispatcher/state_purchase_view/64300342" TargetMode="External"/><Relationship Id="rId24" Type="http://schemas.openxmlformats.org/officeDocument/2006/relationships/hyperlink" Target="https://my.zakupivli.pro/remote/dispatcher/state_purchase_view/61229657" TargetMode="External"/><Relationship Id="rId45" Type="http://schemas.openxmlformats.org/officeDocument/2006/relationships/hyperlink" Target="https://my.zakupivli.pro/remote/dispatcher/state_purchase_view/58588924" TargetMode="External"/><Relationship Id="rId66" Type="http://schemas.openxmlformats.org/officeDocument/2006/relationships/hyperlink" Target="https://my.zakupivli.pro/remote/dispatcher/state_purchase_view/58129619" TargetMode="External"/><Relationship Id="rId87" Type="http://schemas.openxmlformats.org/officeDocument/2006/relationships/hyperlink" Target="https://my.zakupivli.pro/remote/dispatcher/state_purchase_view/63091940" TargetMode="External"/><Relationship Id="rId110" Type="http://schemas.openxmlformats.org/officeDocument/2006/relationships/hyperlink" Target="https://my.zakupivli.pro/remote/dispatcher/state_purchase_view/61224736" TargetMode="External"/><Relationship Id="rId131" Type="http://schemas.openxmlformats.org/officeDocument/2006/relationships/hyperlink" Target="https://my.zakupivli.pro/remote/dispatcher/state_purchase_view/58410439" TargetMode="External"/><Relationship Id="rId327" Type="http://schemas.openxmlformats.org/officeDocument/2006/relationships/hyperlink" Target="https://my.zakupivli.pro/remote/dispatcher/state_purchase_view/58960205" TargetMode="External"/><Relationship Id="rId348" Type="http://schemas.openxmlformats.org/officeDocument/2006/relationships/hyperlink" Target="https://my.zakupivli.pro/remote/dispatcher/state_purchase_view/64301818" TargetMode="External"/><Relationship Id="rId152" Type="http://schemas.openxmlformats.org/officeDocument/2006/relationships/hyperlink" Target="https://my.zakupivli.pro/remote/dispatcher/state_purchase_view/60328677" TargetMode="External"/><Relationship Id="rId173" Type="http://schemas.openxmlformats.org/officeDocument/2006/relationships/hyperlink" Target="https://my.zakupivli.pro/remote/dispatcher/state_purchase_view/60718855" TargetMode="External"/><Relationship Id="rId194" Type="http://schemas.openxmlformats.org/officeDocument/2006/relationships/hyperlink" Target="https://my.zakupivli.pro/remote/dispatcher/state_purchase_view/60411024" TargetMode="External"/><Relationship Id="rId208" Type="http://schemas.openxmlformats.org/officeDocument/2006/relationships/hyperlink" Target="https://my.zakupivli.pro/remote/dispatcher/state_purchase_view/59898769" TargetMode="External"/><Relationship Id="rId229" Type="http://schemas.openxmlformats.org/officeDocument/2006/relationships/hyperlink" Target="https://my.zakupivli.pro/remote/dispatcher/state_purchase_view/60828402" TargetMode="External"/><Relationship Id="rId240" Type="http://schemas.openxmlformats.org/officeDocument/2006/relationships/hyperlink" Target="https://my.zakupivli.pro/remote/dispatcher/state_purchase_view/60341104" TargetMode="External"/><Relationship Id="rId261" Type="http://schemas.openxmlformats.org/officeDocument/2006/relationships/hyperlink" Target="https://my.zakupivli.pro/remote/dispatcher/state_purchase_view/61001145" TargetMode="External"/><Relationship Id="rId14" Type="http://schemas.openxmlformats.org/officeDocument/2006/relationships/hyperlink" Target="https://my.zakupivli.pro/remote/dispatcher/state_purchase_view/59777825" TargetMode="External"/><Relationship Id="rId35" Type="http://schemas.openxmlformats.org/officeDocument/2006/relationships/hyperlink" Target="https://my.zakupivli.pro/remote/dispatcher/state_purchase_view/62305904" TargetMode="External"/><Relationship Id="rId56" Type="http://schemas.openxmlformats.org/officeDocument/2006/relationships/hyperlink" Target="https://my.zakupivli.pro/remote/dispatcher/state_purchase_view/56572186" TargetMode="External"/><Relationship Id="rId77" Type="http://schemas.openxmlformats.org/officeDocument/2006/relationships/hyperlink" Target="https://my.zakupivli.pro/remote/dispatcher/state_purchase_view/61226386" TargetMode="External"/><Relationship Id="rId100" Type="http://schemas.openxmlformats.org/officeDocument/2006/relationships/hyperlink" Target="https://my.zakupivli.pro/remote/dispatcher/state_purchase_view/59340414" TargetMode="External"/><Relationship Id="rId282" Type="http://schemas.openxmlformats.org/officeDocument/2006/relationships/hyperlink" Target="https://my.zakupivli.pro/remote/dispatcher/state_purchase_view/60745539" TargetMode="External"/><Relationship Id="rId317" Type="http://schemas.openxmlformats.org/officeDocument/2006/relationships/hyperlink" Target="https://my.zakupivli.pro/remote/dispatcher/state_purchase_view/58122832" TargetMode="External"/><Relationship Id="rId338" Type="http://schemas.openxmlformats.org/officeDocument/2006/relationships/hyperlink" Target="https://my.zakupivli.pro/remote/dispatcher/state_purchase_view/59899326" TargetMode="External"/><Relationship Id="rId8" Type="http://schemas.openxmlformats.org/officeDocument/2006/relationships/hyperlink" Target="https://my.zakupivli.pro/remote/dispatcher/state_purchase_view/58188776" TargetMode="External"/><Relationship Id="rId98" Type="http://schemas.openxmlformats.org/officeDocument/2006/relationships/hyperlink" Target="https://my.zakupivli.pro/remote/dispatcher/state_purchase_view/56939727" TargetMode="External"/><Relationship Id="rId121" Type="http://schemas.openxmlformats.org/officeDocument/2006/relationships/hyperlink" Target="https://my.zakupivli.pro/remote/dispatcher/state_purchase_view/62647265" TargetMode="External"/><Relationship Id="rId142" Type="http://schemas.openxmlformats.org/officeDocument/2006/relationships/hyperlink" Target="https://my.zakupivli.pro/remote/dispatcher/state_purchase_view/58909587" TargetMode="External"/><Relationship Id="rId163" Type="http://schemas.openxmlformats.org/officeDocument/2006/relationships/hyperlink" Target="https://my.zakupivli.pro/remote/dispatcher/state_purchase_view/62369421" TargetMode="External"/><Relationship Id="rId184" Type="http://schemas.openxmlformats.org/officeDocument/2006/relationships/hyperlink" Target="https://my.zakupivli.pro/remote/dispatcher/state_purchase_view/58127610" TargetMode="External"/><Relationship Id="rId219" Type="http://schemas.openxmlformats.org/officeDocument/2006/relationships/hyperlink" Target="https://my.zakupivli.pro/remote/dispatcher/state_purchase_view/56312946" TargetMode="External"/><Relationship Id="rId230" Type="http://schemas.openxmlformats.org/officeDocument/2006/relationships/hyperlink" Target="https://my.zakupivli.pro/remote/dispatcher/state_purchase_view/56754752" TargetMode="External"/><Relationship Id="rId251" Type="http://schemas.openxmlformats.org/officeDocument/2006/relationships/hyperlink" Target="https://my.zakupivli.pro/remote/dispatcher/state_purchase_view/59130349" TargetMode="External"/><Relationship Id="rId25" Type="http://schemas.openxmlformats.org/officeDocument/2006/relationships/hyperlink" Target="https://my.zakupivli.pro/remote/dispatcher/state_purchase_view/63600915" TargetMode="External"/><Relationship Id="rId46" Type="http://schemas.openxmlformats.org/officeDocument/2006/relationships/hyperlink" Target="https://my.zakupivli.pro/remote/dispatcher/state_purchase_view/58328334" TargetMode="External"/><Relationship Id="rId67" Type="http://schemas.openxmlformats.org/officeDocument/2006/relationships/hyperlink" Target="https://my.zakupivli.pro/remote/dispatcher/state_purchase_view/58292795" TargetMode="External"/><Relationship Id="rId272" Type="http://schemas.openxmlformats.org/officeDocument/2006/relationships/hyperlink" Target="https://my.zakupivli.pro/remote/dispatcher/state_purchase_view/56443343" TargetMode="External"/><Relationship Id="rId293" Type="http://schemas.openxmlformats.org/officeDocument/2006/relationships/hyperlink" Target="https://my.zakupivli.pro/remote/dispatcher/state_purchase_view/60331452" TargetMode="External"/><Relationship Id="rId307" Type="http://schemas.openxmlformats.org/officeDocument/2006/relationships/hyperlink" Target="https://my.zakupivli.pro/remote/dispatcher/state_purchase_view/64302428" TargetMode="External"/><Relationship Id="rId328" Type="http://schemas.openxmlformats.org/officeDocument/2006/relationships/hyperlink" Target="https://my.zakupivli.pro/remote/dispatcher/state_purchase_view/59470665" TargetMode="External"/><Relationship Id="rId349" Type="http://schemas.openxmlformats.org/officeDocument/2006/relationships/hyperlink" Target="https://my.zakupivli.pro/remote/dispatcher/state_purchase_view/64302707" TargetMode="External"/><Relationship Id="rId88" Type="http://schemas.openxmlformats.org/officeDocument/2006/relationships/hyperlink" Target="https://my.zakupivli.pro/remote/dispatcher/state_purchase_view/63091136" TargetMode="External"/><Relationship Id="rId111" Type="http://schemas.openxmlformats.org/officeDocument/2006/relationships/hyperlink" Target="https://my.zakupivli.pro/remote/dispatcher/state_purchase_view/60749161" TargetMode="External"/><Relationship Id="rId132" Type="http://schemas.openxmlformats.org/officeDocument/2006/relationships/hyperlink" Target="https://my.zakupivli.pro/remote/dispatcher/state_purchase_view/58126828" TargetMode="External"/><Relationship Id="rId153" Type="http://schemas.openxmlformats.org/officeDocument/2006/relationships/hyperlink" Target="https://my.zakupivli.pro/remote/dispatcher/state_purchase_view/60329222" TargetMode="External"/><Relationship Id="rId174" Type="http://schemas.openxmlformats.org/officeDocument/2006/relationships/hyperlink" Target="https://my.zakupivli.pro/remote/dispatcher/state_purchase_view/56334184" TargetMode="External"/><Relationship Id="rId195" Type="http://schemas.openxmlformats.org/officeDocument/2006/relationships/hyperlink" Target="https://my.zakupivli.pro/remote/dispatcher/state_purchase_view/60744727" TargetMode="External"/><Relationship Id="rId209" Type="http://schemas.openxmlformats.org/officeDocument/2006/relationships/hyperlink" Target="https://my.zakupivli.pro/remote/dispatcher/state_purchase_view/59898967" TargetMode="External"/><Relationship Id="rId190" Type="http://schemas.openxmlformats.org/officeDocument/2006/relationships/hyperlink" Target="https://my.zakupivli.pro/remote/dispatcher/state_purchase_view/56839714" TargetMode="External"/><Relationship Id="rId204" Type="http://schemas.openxmlformats.org/officeDocument/2006/relationships/hyperlink" Target="https://my.zakupivli.pro/remote/dispatcher/state_purchase_view/64256248" TargetMode="External"/><Relationship Id="rId220" Type="http://schemas.openxmlformats.org/officeDocument/2006/relationships/hyperlink" Target="https://my.zakupivli.pro/remote/dispatcher/state_purchase_view/58129395" TargetMode="External"/><Relationship Id="rId225" Type="http://schemas.openxmlformats.org/officeDocument/2006/relationships/hyperlink" Target="https://my.zakupivli.pro/remote/dispatcher/state_purchase_view/62647994" TargetMode="External"/><Relationship Id="rId241" Type="http://schemas.openxmlformats.org/officeDocument/2006/relationships/hyperlink" Target="https://my.zakupivli.pro/remote/dispatcher/state_purchase_view/60115991" TargetMode="External"/><Relationship Id="rId246" Type="http://schemas.openxmlformats.org/officeDocument/2006/relationships/hyperlink" Target="https://my.zakupivli.pro/remote/dispatcher/state_purchase_view/58908735" TargetMode="External"/><Relationship Id="rId267" Type="http://schemas.openxmlformats.org/officeDocument/2006/relationships/hyperlink" Target="https://my.zakupivli.pro/remote/dispatcher/state_purchase_view/63600321" TargetMode="External"/><Relationship Id="rId288" Type="http://schemas.openxmlformats.org/officeDocument/2006/relationships/hyperlink" Target="https://my.zakupivli.pro/remote/dispatcher/state_purchase_view/60969182" TargetMode="External"/><Relationship Id="rId15" Type="http://schemas.openxmlformats.org/officeDocument/2006/relationships/hyperlink" Target="https://my.zakupivli.pro/remote/dispatcher/state_purchase_view/63950112" TargetMode="External"/><Relationship Id="rId36" Type="http://schemas.openxmlformats.org/officeDocument/2006/relationships/hyperlink" Target="https://my.zakupivli.pro/remote/dispatcher/state_purchase_view/62611051" TargetMode="External"/><Relationship Id="rId57" Type="http://schemas.openxmlformats.org/officeDocument/2006/relationships/hyperlink" Target="https://my.zakupivli.pro/remote/dispatcher/state_purchase_view/56605823" TargetMode="External"/><Relationship Id="rId106" Type="http://schemas.openxmlformats.org/officeDocument/2006/relationships/hyperlink" Target="https://my.zakupivli.pro/remote/dispatcher/state_purchase_view/56646621" TargetMode="External"/><Relationship Id="rId127" Type="http://schemas.openxmlformats.org/officeDocument/2006/relationships/hyperlink" Target="https://my.zakupivli.pro/remote/dispatcher/state_purchase_view/57908846" TargetMode="External"/><Relationship Id="rId262" Type="http://schemas.openxmlformats.org/officeDocument/2006/relationships/hyperlink" Target="https://my.zakupivli.pro/remote/dispatcher/state_purchase_view/60970983" TargetMode="External"/><Relationship Id="rId283" Type="http://schemas.openxmlformats.org/officeDocument/2006/relationships/hyperlink" Target="https://my.zakupivli.pro/remote/dispatcher/state_purchase_view/61182881" TargetMode="External"/><Relationship Id="rId313" Type="http://schemas.openxmlformats.org/officeDocument/2006/relationships/hyperlink" Target="https://my.zakupivli.pro/remote/dispatcher/state_purchase_view/57782236" TargetMode="External"/><Relationship Id="rId318" Type="http://schemas.openxmlformats.org/officeDocument/2006/relationships/hyperlink" Target="https://my.zakupivli.pro/remote/dispatcher/state_purchase_view/58123816" TargetMode="External"/><Relationship Id="rId339" Type="http://schemas.openxmlformats.org/officeDocument/2006/relationships/hyperlink" Target="https://my.zakupivli.pro/remote/dispatcher/state_purchase_view/62311930" TargetMode="External"/><Relationship Id="rId10" Type="http://schemas.openxmlformats.org/officeDocument/2006/relationships/hyperlink" Target="https://my.zakupivli.pro/remote/dispatcher/state_purchase_view/56877822" TargetMode="External"/><Relationship Id="rId31" Type="http://schemas.openxmlformats.org/officeDocument/2006/relationships/hyperlink" Target="https://my.zakupivli.pro/remote/dispatcher/state_purchase_view/59578716" TargetMode="External"/><Relationship Id="rId52" Type="http://schemas.openxmlformats.org/officeDocument/2006/relationships/hyperlink" Target="https://my.zakupivli.pro/remote/dispatcher/state_purchase_view/60330873" TargetMode="External"/><Relationship Id="rId73" Type="http://schemas.openxmlformats.org/officeDocument/2006/relationships/hyperlink" Target="https://my.zakupivli.pro/remote/dispatcher/state_purchase_view/62299797" TargetMode="External"/><Relationship Id="rId78" Type="http://schemas.openxmlformats.org/officeDocument/2006/relationships/hyperlink" Target="https://my.zakupivli.pro/remote/dispatcher/state_purchase_view/61213722" TargetMode="External"/><Relationship Id="rId94" Type="http://schemas.openxmlformats.org/officeDocument/2006/relationships/hyperlink" Target="https://my.zakupivli.pro/remote/dispatcher/state_purchase_view/59901818" TargetMode="External"/><Relationship Id="rId99" Type="http://schemas.openxmlformats.org/officeDocument/2006/relationships/hyperlink" Target="https://my.zakupivli.pro/remote/dispatcher/state_purchase_view/56312618" TargetMode="External"/><Relationship Id="rId101" Type="http://schemas.openxmlformats.org/officeDocument/2006/relationships/hyperlink" Target="https://my.zakupivli.pro/remote/dispatcher/state_purchase_view/59703867" TargetMode="External"/><Relationship Id="rId122" Type="http://schemas.openxmlformats.org/officeDocument/2006/relationships/hyperlink" Target="https://my.zakupivli.pro/remote/dispatcher/state_purchase_view/62648210" TargetMode="External"/><Relationship Id="rId143" Type="http://schemas.openxmlformats.org/officeDocument/2006/relationships/hyperlink" Target="https://my.zakupivli.pro/remote/dispatcher/state_purchase_view/58580081" TargetMode="External"/><Relationship Id="rId148" Type="http://schemas.openxmlformats.org/officeDocument/2006/relationships/hyperlink" Target="https://my.zakupivli.pro/remote/dispatcher/state_purchase_view/56836332" TargetMode="External"/><Relationship Id="rId164" Type="http://schemas.openxmlformats.org/officeDocument/2006/relationships/hyperlink" Target="https://my.zakupivli.pro/remote/dispatcher/state_purchase_view/64300748" TargetMode="External"/><Relationship Id="rId169" Type="http://schemas.openxmlformats.org/officeDocument/2006/relationships/hyperlink" Target="https://my.zakupivli.pro/remote/dispatcher/state_purchase_view/63600525" TargetMode="External"/><Relationship Id="rId185" Type="http://schemas.openxmlformats.org/officeDocument/2006/relationships/hyperlink" Target="https://my.zakupivli.pro/remote/dispatcher/state_purchase_view/58185581" TargetMode="External"/><Relationship Id="rId334" Type="http://schemas.openxmlformats.org/officeDocument/2006/relationships/hyperlink" Target="https://my.zakupivli.pro/remote/dispatcher/state_purchase_view/60872958" TargetMode="External"/><Relationship Id="rId350" Type="http://schemas.openxmlformats.org/officeDocument/2006/relationships/hyperlink" Target="https://my.zakupivli.pro/remote/dispatcher/state_purchase_view/60202548" TargetMode="External"/><Relationship Id="rId355" Type="http://schemas.openxmlformats.org/officeDocument/2006/relationships/hyperlink" Target="https://my.zakupivli.pro/remote/dispatcher/state_purchase_view/57050973" TargetMode="External"/><Relationship Id="rId4" Type="http://schemas.openxmlformats.org/officeDocument/2006/relationships/hyperlink" Target="https://my.zakupivli.pro/remote/dispatcher/state_purchase_view/58130935" TargetMode="External"/><Relationship Id="rId9" Type="http://schemas.openxmlformats.org/officeDocument/2006/relationships/hyperlink" Target="https://my.zakupivli.pro/remote/dispatcher/state_purchase_view/58464032" TargetMode="External"/><Relationship Id="rId180" Type="http://schemas.openxmlformats.org/officeDocument/2006/relationships/hyperlink" Target="https://my.zakupivli.pro/remote/dispatcher/state_purchase_view/58035309" TargetMode="External"/><Relationship Id="rId210" Type="http://schemas.openxmlformats.org/officeDocument/2006/relationships/hyperlink" Target="https://my.zakupivli.pro/remote/dispatcher/state_purchase_view/62594414" TargetMode="External"/><Relationship Id="rId215" Type="http://schemas.openxmlformats.org/officeDocument/2006/relationships/hyperlink" Target="https://my.zakupivli.pro/remote/dispatcher/state_purchase_view/58324756" TargetMode="External"/><Relationship Id="rId236" Type="http://schemas.openxmlformats.org/officeDocument/2006/relationships/hyperlink" Target="https://my.zakupivli.pro/remote/dispatcher/state_purchase_view/60031940" TargetMode="External"/><Relationship Id="rId257" Type="http://schemas.openxmlformats.org/officeDocument/2006/relationships/hyperlink" Target="https://my.zakupivli.pro/remote/dispatcher/state_purchase_view/56827629" TargetMode="External"/><Relationship Id="rId278" Type="http://schemas.openxmlformats.org/officeDocument/2006/relationships/hyperlink" Target="https://my.zakupivli.pro/remote/dispatcher/state_purchase_view/56312407" TargetMode="External"/><Relationship Id="rId26" Type="http://schemas.openxmlformats.org/officeDocument/2006/relationships/hyperlink" Target="https://my.zakupivli.pro/remote/dispatcher/state_purchase_view/63599414" TargetMode="External"/><Relationship Id="rId231" Type="http://schemas.openxmlformats.org/officeDocument/2006/relationships/hyperlink" Target="https://my.zakupivli.pro/remote/dispatcher/state_purchase_view/56525463" TargetMode="External"/><Relationship Id="rId252" Type="http://schemas.openxmlformats.org/officeDocument/2006/relationships/hyperlink" Target="https://my.zakupivli.pro/remote/dispatcher/state_purchase_view/59403665" TargetMode="External"/><Relationship Id="rId273" Type="http://schemas.openxmlformats.org/officeDocument/2006/relationships/hyperlink" Target="https://my.zakupivli.pro/remote/dispatcher/state_purchase_view/57049776" TargetMode="External"/><Relationship Id="rId294" Type="http://schemas.openxmlformats.org/officeDocument/2006/relationships/hyperlink" Target="https://my.zakupivli.pro/remote/dispatcher/state_purchase_view/62645423" TargetMode="External"/><Relationship Id="rId308" Type="http://schemas.openxmlformats.org/officeDocument/2006/relationships/hyperlink" Target="https://my.zakupivli.pro/remote/dispatcher/state_purchase_view/63834278" TargetMode="External"/><Relationship Id="rId329" Type="http://schemas.openxmlformats.org/officeDocument/2006/relationships/hyperlink" Target="https://my.zakupivli.pro/remote/dispatcher/state_purchase_view/58912780" TargetMode="External"/><Relationship Id="rId47" Type="http://schemas.openxmlformats.org/officeDocument/2006/relationships/hyperlink" Target="https://my.zakupivli.pro/remote/dispatcher/state_purchase_view/58412637" TargetMode="External"/><Relationship Id="rId68" Type="http://schemas.openxmlformats.org/officeDocument/2006/relationships/hyperlink" Target="https://my.zakupivli.pro/remote/dispatcher/state_purchase_view/57806643" TargetMode="External"/><Relationship Id="rId89" Type="http://schemas.openxmlformats.org/officeDocument/2006/relationships/hyperlink" Target="https://my.zakupivli.pro/remote/dispatcher/state_purchase_view/60389814" TargetMode="External"/><Relationship Id="rId112" Type="http://schemas.openxmlformats.org/officeDocument/2006/relationships/hyperlink" Target="https://my.zakupivli.pro/remote/dispatcher/state_purchase_view/58417123" TargetMode="External"/><Relationship Id="rId133" Type="http://schemas.openxmlformats.org/officeDocument/2006/relationships/hyperlink" Target="https://my.zakupivli.pro/remote/dispatcher/state_purchase_view/58129748" TargetMode="External"/><Relationship Id="rId154" Type="http://schemas.openxmlformats.org/officeDocument/2006/relationships/hyperlink" Target="https://my.zakupivli.pro/remote/dispatcher/state_purchase_view/60331023" TargetMode="External"/><Relationship Id="rId175" Type="http://schemas.openxmlformats.org/officeDocument/2006/relationships/hyperlink" Target="https://my.zakupivli.pro/remote/dispatcher/state_purchase_view/56311015" TargetMode="External"/><Relationship Id="rId340" Type="http://schemas.openxmlformats.org/officeDocument/2006/relationships/hyperlink" Target="https://my.zakupivli.pro/remote/dispatcher/state_purchase_view/62311483" TargetMode="External"/><Relationship Id="rId196" Type="http://schemas.openxmlformats.org/officeDocument/2006/relationships/hyperlink" Target="https://my.zakupivli.pro/remote/dispatcher/state_purchase_view/59639306" TargetMode="External"/><Relationship Id="rId200" Type="http://schemas.openxmlformats.org/officeDocument/2006/relationships/hyperlink" Target="https://my.zakupivli.pro/remote/dispatcher/state_purchase_view/59441711" TargetMode="External"/><Relationship Id="rId16" Type="http://schemas.openxmlformats.org/officeDocument/2006/relationships/hyperlink" Target="https://my.zakupivli.pro/remote/dispatcher/state_purchase_view/64257096" TargetMode="External"/><Relationship Id="rId221" Type="http://schemas.openxmlformats.org/officeDocument/2006/relationships/hyperlink" Target="https://my.zakupivli.pro/remote/dispatcher/state_purchase_view/58130017" TargetMode="External"/><Relationship Id="rId242" Type="http://schemas.openxmlformats.org/officeDocument/2006/relationships/hyperlink" Target="https://my.zakupivli.pro/remote/dispatcher/state_purchase_view/58866865" TargetMode="External"/><Relationship Id="rId263" Type="http://schemas.openxmlformats.org/officeDocument/2006/relationships/hyperlink" Target="https://my.zakupivli.pro/remote/dispatcher/state_purchase_view/60969329" TargetMode="External"/><Relationship Id="rId284" Type="http://schemas.openxmlformats.org/officeDocument/2006/relationships/hyperlink" Target="https://my.zakupivli.pro/remote/dispatcher/state_purchase_view/61674444" TargetMode="External"/><Relationship Id="rId319" Type="http://schemas.openxmlformats.org/officeDocument/2006/relationships/hyperlink" Target="https://my.zakupivli.pro/remote/dispatcher/state_purchase_view/58165404" TargetMode="External"/><Relationship Id="rId37" Type="http://schemas.openxmlformats.org/officeDocument/2006/relationships/hyperlink" Target="https://my.zakupivli.pro/remote/dispatcher/state_purchase_view/59468749" TargetMode="External"/><Relationship Id="rId58" Type="http://schemas.openxmlformats.org/officeDocument/2006/relationships/hyperlink" Target="https://my.zakupivli.pro/remote/dispatcher/state_purchase_view/57785788" TargetMode="External"/><Relationship Id="rId79" Type="http://schemas.openxmlformats.org/officeDocument/2006/relationships/hyperlink" Target="https://my.zakupivli.pro/remote/dispatcher/state_purchase_view/62821996" TargetMode="External"/><Relationship Id="rId102" Type="http://schemas.openxmlformats.org/officeDocument/2006/relationships/hyperlink" Target="https://my.zakupivli.pro/remote/dispatcher/state_purchase_view/59638722" TargetMode="External"/><Relationship Id="rId123" Type="http://schemas.openxmlformats.org/officeDocument/2006/relationships/hyperlink" Target="https://my.zakupivli.pro/remote/dispatcher/state_purchase_view/61910956" TargetMode="External"/><Relationship Id="rId144" Type="http://schemas.openxmlformats.org/officeDocument/2006/relationships/hyperlink" Target="https://my.zakupivli.pro/remote/dispatcher/state_purchase_view/58588241" TargetMode="External"/><Relationship Id="rId330" Type="http://schemas.openxmlformats.org/officeDocument/2006/relationships/hyperlink" Target="https://my.zakupivli.pro/remote/dispatcher/state_purchase_view/60024265" TargetMode="External"/><Relationship Id="rId90" Type="http://schemas.openxmlformats.org/officeDocument/2006/relationships/hyperlink" Target="https://my.zakupivli.pro/remote/dispatcher/state_purchase_view/59054197" TargetMode="External"/><Relationship Id="rId165" Type="http://schemas.openxmlformats.org/officeDocument/2006/relationships/hyperlink" Target="https://my.zakupivli.pro/remote/dispatcher/state_purchase_view/64885444" TargetMode="External"/><Relationship Id="rId186" Type="http://schemas.openxmlformats.org/officeDocument/2006/relationships/hyperlink" Target="https://my.zakupivli.pro/remote/dispatcher/state_purchase_view/57446358" TargetMode="External"/><Relationship Id="rId351" Type="http://schemas.openxmlformats.org/officeDocument/2006/relationships/hyperlink" Target="https://my.zakupivli.pro/remote/dispatcher/state_purchase_view/63594617" TargetMode="External"/><Relationship Id="rId211" Type="http://schemas.openxmlformats.org/officeDocument/2006/relationships/hyperlink" Target="https://my.zakupivli.pro/remote/dispatcher/state_purchase_view/65028685" TargetMode="External"/><Relationship Id="rId232" Type="http://schemas.openxmlformats.org/officeDocument/2006/relationships/hyperlink" Target="https://my.zakupivli.pro/remote/dispatcher/state_purchase_view/58409474" TargetMode="External"/><Relationship Id="rId253" Type="http://schemas.openxmlformats.org/officeDocument/2006/relationships/hyperlink" Target="https://my.zakupivli.pro/remote/dispatcher/state_purchase_view/59407319" TargetMode="External"/><Relationship Id="rId274" Type="http://schemas.openxmlformats.org/officeDocument/2006/relationships/hyperlink" Target="https://my.zakupivli.pro/remote/dispatcher/state_purchase_view/58122573" TargetMode="External"/><Relationship Id="rId295" Type="http://schemas.openxmlformats.org/officeDocument/2006/relationships/hyperlink" Target="https://my.zakupivli.pro/remote/dispatcher/state_purchase_view/62646346" TargetMode="External"/><Relationship Id="rId309" Type="http://schemas.openxmlformats.org/officeDocument/2006/relationships/hyperlink" Target="https://my.zakupivli.pro/remote/dispatcher/state_purchase_view/56600664" TargetMode="External"/><Relationship Id="rId27" Type="http://schemas.openxmlformats.org/officeDocument/2006/relationships/hyperlink" Target="https://my.zakupivli.pro/remote/dispatcher/state_purchase_view/60441232" TargetMode="External"/><Relationship Id="rId48" Type="http://schemas.openxmlformats.org/officeDocument/2006/relationships/hyperlink" Target="https://my.zakupivli.pro/remote/dispatcher/state_purchase_view/58188133" TargetMode="External"/><Relationship Id="rId69" Type="http://schemas.openxmlformats.org/officeDocument/2006/relationships/hyperlink" Target="https://my.zakupivli.pro/remote/dispatcher/state_purchase_view/59442872" TargetMode="External"/><Relationship Id="rId113" Type="http://schemas.openxmlformats.org/officeDocument/2006/relationships/hyperlink" Target="https://my.zakupivli.pro/remote/dispatcher/state_purchase_view/63762638" TargetMode="External"/><Relationship Id="rId134" Type="http://schemas.openxmlformats.org/officeDocument/2006/relationships/hyperlink" Target="https://my.zakupivli.pro/remote/dispatcher/state_purchase_view/58416428" TargetMode="External"/><Relationship Id="rId320" Type="http://schemas.openxmlformats.org/officeDocument/2006/relationships/hyperlink" Target="https://my.zakupivli.pro/remote/dispatcher/state_purchase_view/58325171" TargetMode="External"/><Relationship Id="rId80" Type="http://schemas.openxmlformats.org/officeDocument/2006/relationships/hyperlink" Target="https://my.zakupivli.pro/remote/dispatcher/state_purchase_view/62822645" TargetMode="External"/><Relationship Id="rId155" Type="http://schemas.openxmlformats.org/officeDocument/2006/relationships/hyperlink" Target="https://my.zakupivli.pro/remote/dispatcher/state_purchase_view/60342139" TargetMode="External"/><Relationship Id="rId176" Type="http://schemas.openxmlformats.org/officeDocument/2006/relationships/hyperlink" Target="https://my.zakupivli.pro/remote/dispatcher/state_purchase_view/58587969" TargetMode="External"/><Relationship Id="rId197" Type="http://schemas.openxmlformats.org/officeDocument/2006/relationships/hyperlink" Target="https://my.zakupivli.pro/remote/dispatcher/state_purchase_view/59640044" TargetMode="External"/><Relationship Id="rId341" Type="http://schemas.openxmlformats.org/officeDocument/2006/relationships/hyperlink" Target="https://my.zakupivli.pro/remote/dispatcher/state_purchase_view/63598767" TargetMode="External"/><Relationship Id="rId201" Type="http://schemas.openxmlformats.org/officeDocument/2006/relationships/hyperlink" Target="https://my.zakupivli.pro/remote/dispatcher/state_purchase_view/60086846" TargetMode="External"/><Relationship Id="rId222" Type="http://schemas.openxmlformats.org/officeDocument/2006/relationships/hyperlink" Target="https://my.zakupivli.pro/remote/dispatcher/state_purchase_view/58130126" TargetMode="External"/><Relationship Id="rId243" Type="http://schemas.openxmlformats.org/officeDocument/2006/relationships/hyperlink" Target="https://my.zakupivli.pro/remote/dispatcher/state_purchase_view/58888401" TargetMode="External"/><Relationship Id="rId264" Type="http://schemas.openxmlformats.org/officeDocument/2006/relationships/hyperlink" Target="https://my.zakupivli.pro/remote/dispatcher/state_purchase_view/61911036" TargetMode="External"/><Relationship Id="rId285" Type="http://schemas.openxmlformats.org/officeDocument/2006/relationships/hyperlink" Target="https://my.zakupivli.pro/remote/dispatcher/state_purchase_view/61910858" TargetMode="External"/><Relationship Id="rId17" Type="http://schemas.openxmlformats.org/officeDocument/2006/relationships/hyperlink" Target="https://my.zakupivli.pro/remote/dispatcher/state_purchase_view/64301501" TargetMode="External"/><Relationship Id="rId38" Type="http://schemas.openxmlformats.org/officeDocument/2006/relationships/hyperlink" Target="https://my.zakupivli.pro/remote/dispatcher/state_purchase_view/58430657" TargetMode="External"/><Relationship Id="rId59" Type="http://schemas.openxmlformats.org/officeDocument/2006/relationships/hyperlink" Target="https://my.zakupivli.pro/remote/dispatcher/state_purchase_view/57048894" TargetMode="External"/><Relationship Id="rId103" Type="http://schemas.openxmlformats.org/officeDocument/2006/relationships/hyperlink" Target="https://my.zakupivli.pro/remote/dispatcher/state_purchase_view/59813151" TargetMode="External"/><Relationship Id="rId124" Type="http://schemas.openxmlformats.org/officeDocument/2006/relationships/hyperlink" Target="https://my.zakupivli.pro/remote/dispatcher/state_purchase_view/58035975" TargetMode="External"/><Relationship Id="rId310" Type="http://schemas.openxmlformats.org/officeDocument/2006/relationships/hyperlink" Target="https://my.zakupivli.pro/remote/dispatcher/state_purchase_view/56807201" TargetMode="External"/><Relationship Id="rId70" Type="http://schemas.openxmlformats.org/officeDocument/2006/relationships/hyperlink" Target="https://my.zakupivli.pro/remote/dispatcher/state_purchase_view/59443815" TargetMode="External"/><Relationship Id="rId91" Type="http://schemas.openxmlformats.org/officeDocument/2006/relationships/hyperlink" Target="https://my.zakupivli.pro/remote/dispatcher/state_purchase_view/65028983" TargetMode="External"/><Relationship Id="rId145" Type="http://schemas.openxmlformats.org/officeDocument/2006/relationships/hyperlink" Target="https://my.zakupivli.pro/remote/dispatcher/state_purchase_view/60023346" TargetMode="External"/><Relationship Id="rId166" Type="http://schemas.openxmlformats.org/officeDocument/2006/relationships/hyperlink" Target="https://my.zakupivli.pro/remote/dispatcher/state_purchase_view/65029361" TargetMode="External"/><Relationship Id="rId187" Type="http://schemas.openxmlformats.org/officeDocument/2006/relationships/hyperlink" Target="https://my.zakupivli.pro/remote/dispatcher/state_purchase_view/57017550" TargetMode="External"/><Relationship Id="rId331" Type="http://schemas.openxmlformats.org/officeDocument/2006/relationships/hyperlink" Target="https://my.zakupivli.pro/remote/dispatcher/state_purchase_view/60330561" TargetMode="External"/><Relationship Id="rId352" Type="http://schemas.openxmlformats.org/officeDocument/2006/relationships/hyperlink" Target="https://my.zakupivli.pro/remote/dispatcher/state_purchase_view/58357636" TargetMode="External"/><Relationship Id="rId1" Type="http://schemas.openxmlformats.org/officeDocument/2006/relationships/hyperlink" Target="https://my.zakupivli.pro/remote/dispatcher/state_purchase_view/56649988" TargetMode="External"/><Relationship Id="rId212" Type="http://schemas.openxmlformats.org/officeDocument/2006/relationships/hyperlink" Target="https://my.zakupivli.pro/remote/dispatcher/state_purchase_view/57541742" TargetMode="External"/><Relationship Id="rId233" Type="http://schemas.openxmlformats.org/officeDocument/2006/relationships/hyperlink" Target="https://my.zakupivli.pro/remote/dispatcher/state_purchase_view/64298742" TargetMode="External"/><Relationship Id="rId254" Type="http://schemas.openxmlformats.org/officeDocument/2006/relationships/hyperlink" Target="https://my.zakupivli.pro/remote/dispatcher/state_purchase_view/59341766" TargetMode="External"/><Relationship Id="rId28" Type="http://schemas.openxmlformats.org/officeDocument/2006/relationships/hyperlink" Target="https://my.zakupivli.pro/remote/dispatcher/state_purchase_view/58564129" TargetMode="External"/><Relationship Id="rId49" Type="http://schemas.openxmlformats.org/officeDocument/2006/relationships/hyperlink" Target="https://my.zakupivli.pro/remote/dispatcher/state_purchase_view/58908603" TargetMode="External"/><Relationship Id="rId114" Type="http://schemas.openxmlformats.org/officeDocument/2006/relationships/hyperlink" Target="https://my.zakupivli.pro/remote/dispatcher/state_purchase_view/59972980" TargetMode="External"/><Relationship Id="rId275" Type="http://schemas.openxmlformats.org/officeDocument/2006/relationships/hyperlink" Target="https://my.zakupivli.pro/remote/dispatcher/state_purchase_view/58125143" TargetMode="External"/><Relationship Id="rId296" Type="http://schemas.openxmlformats.org/officeDocument/2006/relationships/hyperlink" Target="https://my.zakupivli.pro/remote/dispatcher/state_purchase_view/59639099" TargetMode="External"/><Relationship Id="rId300" Type="http://schemas.openxmlformats.org/officeDocument/2006/relationships/hyperlink" Target="https://my.zakupivli.pro/remote/dispatcher/state_purchase_view/62311622" TargetMode="External"/><Relationship Id="rId60" Type="http://schemas.openxmlformats.org/officeDocument/2006/relationships/hyperlink" Target="https://my.zakupivli.pro/remote/dispatcher/state_purchase_view/57026260" TargetMode="External"/><Relationship Id="rId81" Type="http://schemas.openxmlformats.org/officeDocument/2006/relationships/hyperlink" Target="https://my.zakupivli.pro/remote/dispatcher/state_purchase_view/63598194" TargetMode="External"/><Relationship Id="rId135" Type="http://schemas.openxmlformats.org/officeDocument/2006/relationships/hyperlink" Target="https://my.zakupivli.pro/remote/dispatcher/state_purchase_view/58982652" TargetMode="External"/><Relationship Id="rId156" Type="http://schemas.openxmlformats.org/officeDocument/2006/relationships/hyperlink" Target="https://my.zakupivli.pro/remote/dispatcher/state_purchase_view/60828249" TargetMode="External"/><Relationship Id="rId177" Type="http://schemas.openxmlformats.org/officeDocument/2006/relationships/hyperlink" Target="https://my.zakupivli.pro/remote/dispatcher/state_purchase_view/58537095" TargetMode="External"/><Relationship Id="rId198" Type="http://schemas.openxmlformats.org/officeDocument/2006/relationships/hyperlink" Target="https://my.zakupivli.pro/remote/dispatcher/state_purchase_view/59129304" TargetMode="External"/><Relationship Id="rId321" Type="http://schemas.openxmlformats.org/officeDocument/2006/relationships/hyperlink" Target="https://my.zakupivli.pro/remote/dispatcher/state_purchase_view/58411316" TargetMode="External"/><Relationship Id="rId342" Type="http://schemas.openxmlformats.org/officeDocument/2006/relationships/hyperlink" Target="https://my.zakupivli.pro/remote/dispatcher/state_purchase_view/63948881" TargetMode="External"/><Relationship Id="rId202" Type="http://schemas.openxmlformats.org/officeDocument/2006/relationships/hyperlink" Target="https://my.zakupivli.pro/remote/dispatcher/state_purchase_view/60969875" TargetMode="External"/><Relationship Id="rId223" Type="http://schemas.openxmlformats.org/officeDocument/2006/relationships/hyperlink" Target="https://my.zakupivli.pro/remote/dispatcher/state_purchase_view/58189418" TargetMode="External"/><Relationship Id="rId244" Type="http://schemas.openxmlformats.org/officeDocument/2006/relationships/hyperlink" Target="https://my.zakupivli.pro/remote/dispatcher/state_purchase_view/59822808" TargetMode="External"/><Relationship Id="rId18" Type="http://schemas.openxmlformats.org/officeDocument/2006/relationships/hyperlink" Target="https://my.zakupivli.pro/remote/dispatcher/state_purchase_view/59639663" TargetMode="External"/><Relationship Id="rId39" Type="http://schemas.openxmlformats.org/officeDocument/2006/relationships/hyperlink" Target="https://my.zakupivli.pro/remote/dispatcher/state_purchase_view/65029672" TargetMode="External"/><Relationship Id="rId265" Type="http://schemas.openxmlformats.org/officeDocument/2006/relationships/hyperlink" Target="https://my.zakupivli.pro/remote/dispatcher/state_purchase_view/61911434" TargetMode="External"/><Relationship Id="rId286" Type="http://schemas.openxmlformats.org/officeDocument/2006/relationships/hyperlink" Target="https://my.zakupivli.pro/remote/dispatcher/state_purchase_view/61911310" TargetMode="External"/><Relationship Id="rId50" Type="http://schemas.openxmlformats.org/officeDocument/2006/relationships/hyperlink" Target="https://my.zakupivli.pro/remote/dispatcher/state_purchase_view/60329990" TargetMode="External"/><Relationship Id="rId104" Type="http://schemas.openxmlformats.org/officeDocument/2006/relationships/hyperlink" Target="https://my.zakupivli.pro/remote/dispatcher/state_purchase_view/60331682" TargetMode="External"/><Relationship Id="rId125" Type="http://schemas.openxmlformats.org/officeDocument/2006/relationships/hyperlink" Target="https://my.zakupivli.pro/remote/dispatcher/state_purchase_view/56942191" TargetMode="External"/><Relationship Id="rId146" Type="http://schemas.openxmlformats.org/officeDocument/2006/relationships/hyperlink" Target="https://my.zakupivli.pro/remote/dispatcher/state_purchase_view/60023855" TargetMode="External"/><Relationship Id="rId167" Type="http://schemas.openxmlformats.org/officeDocument/2006/relationships/hyperlink" Target="https://my.zakupivli.pro/remote/dispatcher/state_purchase_view/65028889" TargetMode="External"/><Relationship Id="rId188" Type="http://schemas.openxmlformats.org/officeDocument/2006/relationships/hyperlink" Target="https://my.zakupivli.pro/remote/dispatcher/state_purchase_view/56919905" TargetMode="External"/><Relationship Id="rId311" Type="http://schemas.openxmlformats.org/officeDocument/2006/relationships/hyperlink" Target="https://my.zakupivli.pro/remote/dispatcher/state_purchase_view/56571051" TargetMode="External"/><Relationship Id="rId332" Type="http://schemas.openxmlformats.org/officeDocument/2006/relationships/hyperlink" Target="https://my.zakupivli.pro/remote/dispatcher/state_purchase_view/60902290" TargetMode="External"/><Relationship Id="rId353" Type="http://schemas.openxmlformats.org/officeDocument/2006/relationships/hyperlink" Target="https://my.zakupivli.pro/remote/dispatcher/state_purchase_view/65029562" TargetMode="External"/><Relationship Id="rId71" Type="http://schemas.openxmlformats.org/officeDocument/2006/relationships/hyperlink" Target="https://my.zakupivli.pro/remote/dispatcher/state_purchase_view/62287515" TargetMode="External"/><Relationship Id="rId92" Type="http://schemas.openxmlformats.org/officeDocument/2006/relationships/hyperlink" Target="https://my.zakupivli.pro/remote/dispatcher/state_purchase_view/65026587" TargetMode="External"/><Relationship Id="rId213" Type="http://schemas.openxmlformats.org/officeDocument/2006/relationships/hyperlink" Target="https://my.zakupivli.pro/remote/dispatcher/state_purchase_view/57669508" TargetMode="External"/><Relationship Id="rId234" Type="http://schemas.openxmlformats.org/officeDocument/2006/relationships/hyperlink" Target="https://my.zakupivli.pro/remote/dispatcher/state_purchase_view/64299327" TargetMode="External"/><Relationship Id="rId2" Type="http://schemas.openxmlformats.org/officeDocument/2006/relationships/hyperlink" Target="https://my.zakupivli.pro/remote/dispatcher/state_purchase_view/58932078" TargetMode="External"/><Relationship Id="rId29" Type="http://schemas.openxmlformats.org/officeDocument/2006/relationships/hyperlink" Target="https://my.zakupivli.pro/remote/dispatcher/state_purchase_view/56113444" TargetMode="External"/><Relationship Id="rId255" Type="http://schemas.openxmlformats.org/officeDocument/2006/relationships/hyperlink" Target="https://my.zakupivli.pro/remote/dispatcher/state_purchase_view/59342155" TargetMode="External"/><Relationship Id="rId276" Type="http://schemas.openxmlformats.org/officeDocument/2006/relationships/hyperlink" Target="https://my.zakupivli.pro/remote/dispatcher/state_purchase_view/58588083" TargetMode="External"/><Relationship Id="rId297" Type="http://schemas.openxmlformats.org/officeDocument/2006/relationships/hyperlink" Target="https://my.zakupivli.pro/remote/dispatcher/state_purchase_view/59340084" TargetMode="External"/><Relationship Id="rId40" Type="http://schemas.openxmlformats.org/officeDocument/2006/relationships/hyperlink" Target="https://my.zakupivli.pro/remote/dispatcher/state_purchase_view/65029102" TargetMode="External"/><Relationship Id="rId115" Type="http://schemas.openxmlformats.org/officeDocument/2006/relationships/hyperlink" Target="https://my.zakupivli.pro/remote/dispatcher/state_purchase_view/58418644" TargetMode="External"/><Relationship Id="rId136" Type="http://schemas.openxmlformats.org/officeDocument/2006/relationships/hyperlink" Target="https://my.zakupivli.pro/remote/dispatcher/state_purchase_view/59305190" TargetMode="External"/><Relationship Id="rId157" Type="http://schemas.openxmlformats.org/officeDocument/2006/relationships/hyperlink" Target="https://my.zakupivli.pro/remote/dispatcher/state_purchase_view/60874743" TargetMode="External"/><Relationship Id="rId178" Type="http://schemas.openxmlformats.org/officeDocument/2006/relationships/hyperlink" Target="https://my.zakupivli.pro/remote/dispatcher/state_purchase_view/58865827" TargetMode="External"/><Relationship Id="rId301" Type="http://schemas.openxmlformats.org/officeDocument/2006/relationships/hyperlink" Target="https://my.zakupivli.pro/remote/dispatcher/state_purchase_view/65029793" TargetMode="External"/><Relationship Id="rId322" Type="http://schemas.openxmlformats.org/officeDocument/2006/relationships/hyperlink" Target="https://my.zakupivli.pro/remote/dispatcher/state_purchase_view/59639846" TargetMode="External"/><Relationship Id="rId343" Type="http://schemas.openxmlformats.org/officeDocument/2006/relationships/hyperlink" Target="https://my.zakupivli.pro/remote/dispatcher/state_purchase_view/63950781" TargetMode="External"/><Relationship Id="rId61" Type="http://schemas.openxmlformats.org/officeDocument/2006/relationships/hyperlink" Target="https://my.zakupivli.pro/remote/dispatcher/state_purchase_view/63516282" TargetMode="External"/><Relationship Id="rId82" Type="http://schemas.openxmlformats.org/officeDocument/2006/relationships/hyperlink" Target="https://my.zakupivli.pro/remote/dispatcher/state_purchase_view/63949461" TargetMode="External"/><Relationship Id="rId199" Type="http://schemas.openxmlformats.org/officeDocument/2006/relationships/hyperlink" Target="https://my.zakupivli.pro/remote/dispatcher/state_purchase_view/57011226" TargetMode="External"/><Relationship Id="rId203" Type="http://schemas.openxmlformats.org/officeDocument/2006/relationships/hyperlink" Target="https://my.zakupivli.pro/remote/dispatcher/state_purchase_view/61215036" TargetMode="External"/><Relationship Id="rId19" Type="http://schemas.openxmlformats.org/officeDocument/2006/relationships/hyperlink" Target="https://my.zakupivli.pro/remote/dispatcher/state_purchase_view/60086450" TargetMode="External"/><Relationship Id="rId224" Type="http://schemas.openxmlformats.org/officeDocument/2006/relationships/hyperlink" Target="https://my.zakupivli.pro/remote/dispatcher/state_purchase_view/62647754" TargetMode="External"/><Relationship Id="rId245" Type="http://schemas.openxmlformats.org/officeDocument/2006/relationships/hyperlink" Target="https://my.zakupivli.pro/remote/dispatcher/state_purchase_view/58932249" TargetMode="External"/><Relationship Id="rId266" Type="http://schemas.openxmlformats.org/officeDocument/2006/relationships/hyperlink" Target="https://my.zakupivli.pro/remote/dispatcher/state_purchase_view/61911234" TargetMode="External"/><Relationship Id="rId287" Type="http://schemas.openxmlformats.org/officeDocument/2006/relationships/hyperlink" Target="https://my.zakupivli.pro/remote/dispatcher/state_purchase_view/60828985" TargetMode="External"/><Relationship Id="rId30" Type="http://schemas.openxmlformats.org/officeDocument/2006/relationships/hyperlink" Target="https://my.zakupivli.pro/remote/dispatcher/state_purchase_view/57825385" TargetMode="External"/><Relationship Id="rId105" Type="http://schemas.openxmlformats.org/officeDocument/2006/relationships/hyperlink" Target="https://my.zakupivli.pro/remote/dispatcher/state_purchase_view/60409501" TargetMode="External"/><Relationship Id="rId126" Type="http://schemas.openxmlformats.org/officeDocument/2006/relationships/hyperlink" Target="https://my.zakupivli.pro/remote/dispatcher/state_purchase_view/57908352" TargetMode="External"/><Relationship Id="rId147" Type="http://schemas.openxmlformats.org/officeDocument/2006/relationships/hyperlink" Target="https://my.zakupivli.pro/remote/dispatcher/state_purchase_view/56657939" TargetMode="External"/><Relationship Id="rId168" Type="http://schemas.openxmlformats.org/officeDocument/2006/relationships/hyperlink" Target="https://my.zakupivli.pro/remote/dispatcher/state_purchase_view/65025345" TargetMode="External"/><Relationship Id="rId312" Type="http://schemas.openxmlformats.org/officeDocument/2006/relationships/hyperlink" Target="https://my.zakupivli.pro/remote/dispatcher/state_purchase_view/57025278" TargetMode="External"/><Relationship Id="rId333" Type="http://schemas.openxmlformats.org/officeDocument/2006/relationships/hyperlink" Target="https://my.zakupivli.pro/remote/dispatcher/state_purchase_view/60872042" TargetMode="External"/><Relationship Id="rId354" Type="http://schemas.openxmlformats.org/officeDocument/2006/relationships/hyperlink" Target="https://my.zakupivli.pro/remote/dispatcher/state_purchase_view/65027419" TargetMode="External"/><Relationship Id="rId51" Type="http://schemas.openxmlformats.org/officeDocument/2006/relationships/hyperlink" Target="https://my.zakupivli.pro/remote/dispatcher/state_purchase_view/60329540" TargetMode="External"/><Relationship Id="rId72" Type="http://schemas.openxmlformats.org/officeDocument/2006/relationships/hyperlink" Target="https://my.zakupivli.pro/remote/dispatcher/state_purchase_view/62300246" TargetMode="External"/><Relationship Id="rId93" Type="http://schemas.openxmlformats.org/officeDocument/2006/relationships/hyperlink" Target="https://my.zakupivli.pro/remote/dispatcher/state_purchase_view/58580490" TargetMode="External"/><Relationship Id="rId189" Type="http://schemas.openxmlformats.org/officeDocument/2006/relationships/hyperlink" Target="https://my.zakupivli.pro/remote/dispatcher/state_purchase_view/56975355" TargetMode="External"/><Relationship Id="rId3" Type="http://schemas.openxmlformats.org/officeDocument/2006/relationships/hyperlink" Target="https://my.zakupivli.pro/remote/dispatcher/state_purchase_view/58413982" TargetMode="External"/><Relationship Id="rId214" Type="http://schemas.openxmlformats.org/officeDocument/2006/relationships/hyperlink" Target="https://my.zakupivli.pro/remote/dispatcher/state_purchase_view/58412325" TargetMode="External"/><Relationship Id="rId235" Type="http://schemas.openxmlformats.org/officeDocument/2006/relationships/hyperlink" Target="https://my.zakupivli.pro/remote/dispatcher/state_purchase_view/64865856" TargetMode="External"/><Relationship Id="rId256" Type="http://schemas.openxmlformats.org/officeDocument/2006/relationships/hyperlink" Target="https://my.zakupivli.pro/remote/dispatcher/state_purchase_view/56841122" TargetMode="External"/><Relationship Id="rId277" Type="http://schemas.openxmlformats.org/officeDocument/2006/relationships/hyperlink" Target="https://my.zakupivli.pro/remote/dispatcher/state_purchase_view/56310666" TargetMode="External"/><Relationship Id="rId298" Type="http://schemas.openxmlformats.org/officeDocument/2006/relationships/hyperlink" Target="https://my.zakupivli.pro/remote/dispatcher/state_purchase_view/62273910" TargetMode="External"/><Relationship Id="rId116" Type="http://schemas.openxmlformats.org/officeDocument/2006/relationships/hyperlink" Target="https://my.zakupivli.pro/remote/dispatcher/state_purchase_view/63516700" TargetMode="External"/><Relationship Id="rId137" Type="http://schemas.openxmlformats.org/officeDocument/2006/relationships/hyperlink" Target="https://my.zakupivli.pro/remote/dispatcher/state_purchase_view/56940450" TargetMode="External"/><Relationship Id="rId158" Type="http://schemas.openxmlformats.org/officeDocument/2006/relationships/hyperlink" Target="https://my.zakupivli.pro/remote/dispatcher/state_purchase_view/60814673" TargetMode="External"/><Relationship Id="rId302" Type="http://schemas.openxmlformats.org/officeDocument/2006/relationships/hyperlink" Target="https://my.zakupivli.pro/remote/dispatcher/state_purchase_view/65027336" TargetMode="External"/><Relationship Id="rId323" Type="http://schemas.openxmlformats.org/officeDocument/2006/relationships/hyperlink" Target="https://my.zakupivli.pro/remote/dispatcher/state_purchase_view/60086262" TargetMode="External"/><Relationship Id="rId344" Type="http://schemas.openxmlformats.org/officeDocument/2006/relationships/hyperlink" Target="https://my.zakupivli.pro/remote/dispatcher/state_purchase_view/64261670" TargetMode="External"/><Relationship Id="rId20" Type="http://schemas.openxmlformats.org/officeDocument/2006/relationships/hyperlink" Target="https://my.zakupivli.pro/remote/dispatcher/state_purchase_view/60837434" TargetMode="External"/><Relationship Id="rId41" Type="http://schemas.openxmlformats.org/officeDocument/2006/relationships/hyperlink" Target="https://my.zakupivli.pro/remote/dispatcher/state_purchase_view/56939241" TargetMode="External"/><Relationship Id="rId62" Type="http://schemas.openxmlformats.org/officeDocument/2006/relationships/hyperlink" Target="https://my.zakupivli.pro/remote/dispatcher/state_purchase_view/60740612" TargetMode="External"/><Relationship Id="rId83" Type="http://schemas.openxmlformats.org/officeDocument/2006/relationships/hyperlink" Target="https://my.zakupivli.pro/remote/dispatcher/state_purchase_view/58463653" TargetMode="External"/><Relationship Id="rId179" Type="http://schemas.openxmlformats.org/officeDocument/2006/relationships/hyperlink" Target="https://my.zakupivli.pro/remote/dispatcher/state_purchase_view/580346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0"/>
  <sheetViews>
    <sheetView tabSelected="1" workbookViewId="0">
      <pane ySplit="4" topLeftCell="A206" activePane="bottomLeft" state="frozen"/>
      <selection pane="bottomLeft" activeCell="A361" sqref="A361:XFD364"/>
    </sheetView>
  </sheetViews>
  <sheetFormatPr defaultColWidth="11.42578125" defaultRowHeight="15" x14ac:dyDescent="0.25"/>
  <cols>
    <col min="1" max="1" width="5"/>
    <col min="2" max="2" width="25"/>
    <col min="3" max="3" width="35"/>
    <col min="4" max="4" width="27" customWidth="1"/>
    <col min="5" max="5" width="30"/>
    <col min="6" max="6" width="24.28515625" customWidth="1"/>
    <col min="7" max="9" width="15"/>
    <col min="10" max="13" width="10"/>
  </cols>
  <sheetData>
    <row r="1" spans="1:13" x14ac:dyDescent="0.25">
      <c r="A1" s="10" t="s">
        <v>865</v>
      </c>
      <c r="B1" s="8"/>
      <c r="C1" s="8"/>
      <c r="D1" s="8"/>
      <c r="E1" s="8"/>
      <c r="F1" s="8"/>
      <c r="G1" s="8"/>
      <c r="H1" s="8"/>
      <c r="I1" s="8"/>
      <c r="J1" s="8"/>
      <c r="K1" s="8"/>
      <c r="L1" s="8"/>
      <c r="M1" s="8"/>
    </row>
    <row r="2" spans="1:13" x14ac:dyDescent="0.25">
      <c r="A2" s="8"/>
      <c r="B2" s="8"/>
      <c r="C2" s="8"/>
      <c r="D2" s="8"/>
      <c r="E2" s="8"/>
      <c r="F2" s="8"/>
      <c r="G2" s="8"/>
      <c r="H2" s="8"/>
      <c r="I2" s="8"/>
      <c r="J2" s="8"/>
      <c r="K2" s="8"/>
      <c r="L2" s="8"/>
      <c r="M2" s="8"/>
    </row>
    <row r="3" spans="1:13" ht="15.75" thickBot="1" x14ac:dyDescent="0.3">
      <c r="A3" s="9"/>
      <c r="B3" s="9"/>
      <c r="C3" s="9"/>
      <c r="D3" s="9"/>
      <c r="E3" s="9"/>
      <c r="F3" s="9"/>
      <c r="G3" s="9"/>
      <c r="H3" s="9"/>
      <c r="I3" s="9"/>
      <c r="J3" s="9"/>
      <c r="K3" s="9"/>
      <c r="L3" s="9"/>
      <c r="M3" s="9"/>
    </row>
    <row r="4" spans="1:13" s="2" customFormat="1" ht="65.25" thickBot="1" x14ac:dyDescent="0.3">
      <c r="A4" s="1" t="s">
        <v>864</v>
      </c>
      <c r="B4" s="1" t="s">
        <v>456</v>
      </c>
      <c r="C4" s="1" t="s">
        <v>643</v>
      </c>
      <c r="D4" s="1" t="s">
        <v>555</v>
      </c>
      <c r="E4" s="1" t="s">
        <v>709</v>
      </c>
      <c r="F4" s="1" t="s">
        <v>622</v>
      </c>
      <c r="G4" s="1" t="s">
        <v>455</v>
      </c>
      <c r="H4" s="1" t="s">
        <v>597</v>
      </c>
      <c r="I4" s="1" t="s">
        <v>671</v>
      </c>
      <c r="J4" s="1" t="s">
        <v>503</v>
      </c>
      <c r="K4" s="1" t="s">
        <v>495</v>
      </c>
      <c r="L4" s="1" t="s">
        <v>494</v>
      </c>
      <c r="M4" s="1" t="s">
        <v>666</v>
      </c>
    </row>
    <row r="5" spans="1:13" s="2" customFormat="1" ht="64.5" x14ac:dyDescent="0.25">
      <c r="A5" s="3">
        <v>1</v>
      </c>
      <c r="B5" s="4" t="str">
        <f>HYPERLINK("https://my.zakupivli.pro/remote/dispatcher/state_purchase_view/56649988", "UA-2025-01-17-008208-a")</f>
        <v>UA-2025-01-17-008208-a</v>
      </c>
      <c r="C5" s="5" t="s">
        <v>630</v>
      </c>
      <c r="D5" s="5" t="s">
        <v>410</v>
      </c>
      <c r="E5" s="5" t="s">
        <v>506</v>
      </c>
      <c r="F5" s="5" t="s">
        <v>601</v>
      </c>
      <c r="G5" s="5" t="s">
        <v>279</v>
      </c>
      <c r="H5" s="5" t="s">
        <v>30</v>
      </c>
      <c r="I5" s="3">
        <v>20670</v>
      </c>
      <c r="J5" s="5" t="s">
        <v>598</v>
      </c>
      <c r="K5" s="6">
        <v>45672</v>
      </c>
      <c r="L5" s="6">
        <v>46022</v>
      </c>
      <c r="M5" s="5" t="str">
        <f>[1]Звіт!C3</f>
        <v>Виконано</v>
      </c>
    </row>
    <row r="6" spans="1:13" s="2" customFormat="1" ht="26.25" x14ac:dyDescent="0.25">
      <c r="A6" s="3">
        <v>2</v>
      </c>
      <c r="B6" s="4" t="str">
        <f>HYPERLINK("https://my.zakupivli.pro/remote/dispatcher/state_purchase_view/58932078", "UA-2025-04-23-004082-a")</f>
        <v>UA-2025-04-23-004082-a</v>
      </c>
      <c r="C6" s="5" t="s">
        <v>491</v>
      </c>
      <c r="D6" s="5" t="s">
        <v>88</v>
      </c>
      <c r="E6" s="5" t="s">
        <v>506</v>
      </c>
      <c r="F6" s="5" t="s">
        <v>591</v>
      </c>
      <c r="G6" s="5" t="s">
        <v>160</v>
      </c>
      <c r="H6" s="5" t="s">
        <v>32</v>
      </c>
      <c r="I6" s="3">
        <v>6900</v>
      </c>
      <c r="J6" s="5" t="s">
        <v>598</v>
      </c>
      <c r="K6" s="6">
        <v>45770</v>
      </c>
      <c r="L6" s="6">
        <v>46022</v>
      </c>
      <c r="M6" s="5" t="str">
        <f>[1]Звіт!C4</f>
        <v>Виконано</v>
      </c>
    </row>
    <row r="7" spans="1:13" s="2" customFormat="1" ht="26.25" x14ac:dyDescent="0.25">
      <c r="A7" s="3">
        <v>3</v>
      </c>
      <c r="B7" s="4" t="str">
        <f>HYPERLINK("https://my.zakupivli.pro/remote/dispatcher/state_purchase_view/58413982", "UA-2025-03-28-006430-a")</f>
        <v>UA-2025-03-28-006430-a</v>
      </c>
      <c r="C7" s="5" t="s">
        <v>833</v>
      </c>
      <c r="D7" s="5" t="s">
        <v>185</v>
      </c>
      <c r="E7" s="5" t="s">
        <v>506</v>
      </c>
      <c r="F7" s="5" t="s">
        <v>525</v>
      </c>
      <c r="G7" s="5" t="s">
        <v>205</v>
      </c>
      <c r="H7" s="5" t="s">
        <v>421</v>
      </c>
      <c r="I7" s="3">
        <v>742</v>
      </c>
      <c r="J7" s="5" t="s">
        <v>598</v>
      </c>
      <c r="K7" s="6">
        <v>45744</v>
      </c>
      <c r="L7" s="6">
        <v>46022</v>
      </c>
      <c r="M7" s="5" t="str">
        <f>[1]Звіт!C5</f>
        <v>Виконано</v>
      </c>
    </row>
    <row r="8" spans="1:13" s="2" customFormat="1" ht="51.75" x14ac:dyDescent="0.25">
      <c r="A8" s="3">
        <v>4</v>
      </c>
      <c r="B8" s="4" t="str">
        <f>HYPERLINK("https://my.zakupivli.pro/remote/dispatcher/state_purchase_view/58130935", "UA-2025-03-17-005534-a")</f>
        <v>UA-2025-03-17-005534-a</v>
      </c>
      <c r="C8" s="5" t="s">
        <v>408</v>
      </c>
      <c r="D8" s="5" t="s">
        <v>409</v>
      </c>
      <c r="E8" s="5" t="s">
        <v>506</v>
      </c>
      <c r="F8" s="5" t="s">
        <v>588</v>
      </c>
      <c r="G8" s="5" t="s">
        <v>191</v>
      </c>
      <c r="H8" s="5" t="s">
        <v>4</v>
      </c>
      <c r="I8" s="3">
        <v>21312</v>
      </c>
      <c r="J8" s="5" t="s">
        <v>598</v>
      </c>
      <c r="K8" s="6">
        <v>45733</v>
      </c>
      <c r="L8" s="6">
        <v>46022</v>
      </c>
      <c r="M8" s="5" t="str">
        <f>[1]Звіт!C6</f>
        <v>Виконано</v>
      </c>
    </row>
    <row r="9" spans="1:13" s="2" customFormat="1" ht="26.25" x14ac:dyDescent="0.25">
      <c r="A9" s="3">
        <v>5</v>
      </c>
      <c r="B9" s="4" t="str">
        <f>HYPERLINK("https://my.zakupivli.pro/remote/dispatcher/state_purchase_view/57026663", "UA-2025-01-29-011225-a")</f>
        <v>UA-2025-01-29-011225-a</v>
      </c>
      <c r="C9" s="5" t="s">
        <v>767</v>
      </c>
      <c r="D9" s="5" t="s">
        <v>185</v>
      </c>
      <c r="E9" s="5" t="s">
        <v>506</v>
      </c>
      <c r="F9" s="5" t="s">
        <v>505</v>
      </c>
      <c r="G9" s="5" t="s">
        <v>143</v>
      </c>
      <c r="H9" s="5" t="s">
        <v>136</v>
      </c>
      <c r="I9" s="7">
        <v>1292.55</v>
      </c>
      <c r="J9" s="5" t="s">
        <v>705</v>
      </c>
      <c r="K9" s="6">
        <v>45686</v>
      </c>
      <c r="L9" s="6">
        <v>46022</v>
      </c>
      <c r="M9" s="5" t="str">
        <f>[1]Звіт!C7</f>
        <v>Виконано</v>
      </c>
    </row>
    <row r="10" spans="1:13" s="2" customFormat="1" ht="39" x14ac:dyDescent="0.25">
      <c r="A10" s="3">
        <v>6</v>
      </c>
      <c r="B10" s="4" t="str">
        <f>HYPERLINK("https://my.zakupivli.pro/remote/dispatcher/state_purchase_view/57014350", "UA-2025-01-29-005803-a")</f>
        <v>UA-2025-01-29-005803-a</v>
      </c>
      <c r="C10" s="5" t="s">
        <v>750</v>
      </c>
      <c r="D10" s="5" t="s">
        <v>341</v>
      </c>
      <c r="E10" s="5" t="s">
        <v>506</v>
      </c>
      <c r="F10" s="5" t="s">
        <v>505</v>
      </c>
      <c r="G10" s="5" t="s">
        <v>143</v>
      </c>
      <c r="H10" s="5" t="s">
        <v>136</v>
      </c>
      <c r="I10" s="7">
        <v>34440.959999999999</v>
      </c>
      <c r="J10" s="5" t="s">
        <v>705</v>
      </c>
      <c r="K10" s="6">
        <v>45686</v>
      </c>
      <c r="L10" s="6">
        <v>46022</v>
      </c>
      <c r="M10" s="5" t="str">
        <f>[1]Звіт!C8</f>
        <v>Виконано</v>
      </c>
    </row>
    <row r="11" spans="1:13" s="2" customFormat="1" ht="51.75" x14ac:dyDescent="0.25">
      <c r="A11" s="3">
        <v>7</v>
      </c>
      <c r="B11" s="4" t="str">
        <f>HYPERLINK("https://my.zakupivli.pro/remote/dispatcher/state_purchase_view/56973812", "UA-2025-01-28-007579-a")</f>
        <v>UA-2025-01-28-007579-a</v>
      </c>
      <c r="C11" s="5" t="s">
        <v>545</v>
      </c>
      <c r="D11" s="5" t="s">
        <v>427</v>
      </c>
      <c r="E11" s="5" t="s">
        <v>506</v>
      </c>
      <c r="F11" s="5" t="s">
        <v>504</v>
      </c>
      <c r="G11" s="5" t="s">
        <v>272</v>
      </c>
      <c r="H11" s="5" t="s">
        <v>103</v>
      </c>
      <c r="I11" s="3">
        <v>2400</v>
      </c>
      <c r="J11" s="5" t="s">
        <v>598</v>
      </c>
      <c r="K11" s="6">
        <v>45685</v>
      </c>
      <c r="L11" s="6">
        <v>46022</v>
      </c>
      <c r="M11" s="5" t="str">
        <f>[1]Звіт!C9</f>
        <v>Виконано</v>
      </c>
    </row>
    <row r="12" spans="1:13" s="2" customFormat="1" ht="26.25" x14ac:dyDescent="0.25">
      <c r="A12" s="3">
        <v>8</v>
      </c>
      <c r="B12" s="4" t="str">
        <f>HYPERLINK("https://my.zakupivli.pro/remote/dispatcher/state_purchase_view/58188776", "UA-2025-03-19-002740-a")</f>
        <v>UA-2025-03-19-002740-a</v>
      </c>
      <c r="C12" s="5" t="s">
        <v>518</v>
      </c>
      <c r="D12" s="5" t="s">
        <v>167</v>
      </c>
      <c r="E12" s="5" t="s">
        <v>506</v>
      </c>
      <c r="F12" s="5" t="s">
        <v>722</v>
      </c>
      <c r="G12" s="5" t="s">
        <v>218</v>
      </c>
      <c r="H12" s="5" t="s">
        <v>368</v>
      </c>
      <c r="I12" s="3">
        <v>10211</v>
      </c>
      <c r="J12" s="5" t="s">
        <v>598</v>
      </c>
      <c r="K12" s="6">
        <v>45735</v>
      </c>
      <c r="L12" s="6">
        <v>46022</v>
      </c>
      <c r="M12" s="5" t="str">
        <f>[1]Звіт!C10</f>
        <v>Виконано</v>
      </c>
    </row>
    <row r="13" spans="1:13" s="2" customFormat="1" ht="51.75" x14ac:dyDescent="0.25">
      <c r="A13" s="3">
        <v>9</v>
      </c>
      <c r="B13" s="4" t="str">
        <f>HYPERLINK("https://my.zakupivli.pro/remote/dispatcher/state_purchase_view/58464032", "UA-2025-04-01-005812-a")</f>
        <v>UA-2025-04-01-005812-a</v>
      </c>
      <c r="C13" s="5" t="s">
        <v>708</v>
      </c>
      <c r="D13" s="5" t="s">
        <v>381</v>
      </c>
      <c r="E13" s="5" t="s">
        <v>506</v>
      </c>
      <c r="F13" s="5" t="s">
        <v>577</v>
      </c>
      <c r="G13" s="5" t="s">
        <v>209</v>
      </c>
      <c r="H13" s="5" t="s">
        <v>28</v>
      </c>
      <c r="I13" s="3">
        <v>21600</v>
      </c>
      <c r="J13" s="5" t="s">
        <v>598</v>
      </c>
      <c r="K13" s="6">
        <v>45748</v>
      </c>
      <c r="L13" s="6">
        <v>46022</v>
      </c>
      <c r="M13" s="5" t="str">
        <f>[1]Звіт!C11</f>
        <v>Виконано</v>
      </c>
    </row>
    <row r="14" spans="1:13" s="2" customFormat="1" ht="102.75" x14ac:dyDescent="0.25">
      <c r="A14" s="3">
        <v>10</v>
      </c>
      <c r="B14" s="4" t="str">
        <f>HYPERLINK("https://my.zakupivli.pro/remote/dispatcher/state_purchase_view/56877822", "UA-2025-01-24-003907-a")</f>
        <v>UA-2025-01-24-003907-a</v>
      </c>
      <c r="C14" s="5" t="s">
        <v>636</v>
      </c>
      <c r="D14" s="5" t="s">
        <v>405</v>
      </c>
      <c r="E14" s="5" t="s">
        <v>506</v>
      </c>
      <c r="F14" s="5" t="s">
        <v>702</v>
      </c>
      <c r="G14" s="5" t="s">
        <v>350</v>
      </c>
      <c r="H14" s="5" t="s">
        <v>200</v>
      </c>
      <c r="I14" s="3">
        <v>10680</v>
      </c>
      <c r="J14" s="5" t="s">
        <v>598</v>
      </c>
      <c r="K14" s="6">
        <v>45681</v>
      </c>
      <c r="L14" s="6">
        <v>46022</v>
      </c>
      <c r="M14" s="5" t="str">
        <f>[1]Звіт!C12</f>
        <v>Виконано</v>
      </c>
    </row>
    <row r="15" spans="1:13" s="2" customFormat="1" ht="26.25" x14ac:dyDescent="0.25">
      <c r="A15" s="3">
        <v>11</v>
      </c>
      <c r="B15" s="4" t="str">
        <f>HYPERLINK("https://my.zakupivli.pro/remote/dispatcher/state_purchase_view/60023998", "UA-2025-06-11-005176-a")</f>
        <v>UA-2025-06-11-005176-a</v>
      </c>
      <c r="C15" s="5" t="s">
        <v>841</v>
      </c>
      <c r="D15" s="5" t="s">
        <v>352</v>
      </c>
      <c r="E15" s="5" t="s">
        <v>506</v>
      </c>
      <c r="F15" s="5" t="s">
        <v>525</v>
      </c>
      <c r="G15" s="5" t="s">
        <v>205</v>
      </c>
      <c r="H15" s="5" t="s">
        <v>66</v>
      </c>
      <c r="I15" s="3">
        <v>330</v>
      </c>
      <c r="J15" s="5" t="s">
        <v>598</v>
      </c>
      <c r="K15" s="6">
        <v>45819</v>
      </c>
      <c r="L15" s="6">
        <v>46022</v>
      </c>
      <c r="M15" s="5" t="str">
        <f>[1]Звіт!C13</f>
        <v>Виконано</v>
      </c>
    </row>
    <row r="16" spans="1:13" s="2" customFormat="1" ht="26.25" x14ac:dyDescent="0.25">
      <c r="A16" s="3">
        <v>12</v>
      </c>
      <c r="B16" s="4" t="str">
        <f>HYPERLINK("https://my.zakupivli.pro/remote/dispatcher/state_purchase_view/60032648", "UA-2025-06-11-008904-a")</f>
        <v>UA-2025-06-11-008904-a</v>
      </c>
      <c r="C16" s="5" t="s">
        <v>580</v>
      </c>
      <c r="D16" s="5" t="s">
        <v>165</v>
      </c>
      <c r="E16" s="5" t="s">
        <v>506</v>
      </c>
      <c r="F16" s="5" t="s">
        <v>576</v>
      </c>
      <c r="G16" s="5" t="s">
        <v>250</v>
      </c>
      <c r="H16" s="5" t="s">
        <v>389</v>
      </c>
      <c r="I16" s="3">
        <v>38410</v>
      </c>
      <c r="J16" s="5" t="s">
        <v>598</v>
      </c>
      <c r="K16" s="6">
        <v>45819</v>
      </c>
      <c r="L16" s="6">
        <v>46022</v>
      </c>
      <c r="M16" s="5" t="str">
        <f>[1]Звіт!C14</f>
        <v>Виконано</v>
      </c>
    </row>
    <row r="17" spans="1:13" s="2" customFormat="1" ht="51.75" x14ac:dyDescent="0.25">
      <c r="A17" s="3">
        <v>13</v>
      </c>
      <c r="B17" s="4" t="str">
        <f>HYPERLINK("https://my.zakupivli.pro/remote/dispatcher/state_purchase_view/59443200", "UA-2025-05-15-004416-a")</f>
        <v>UA-2025-05-15-004416-a</v>
      </c>
      <c r="C17" s="5" t="s">
        <v>811</v>
      </c>
      <c r="D17" s="5" t="s">
        <v>276</v>
      </c>
      <c r="E17" s="5" t="s">
        <v>506</v>
      </c>
      <c r="F17" s="5" t="s">
        <v>525</v>
      </c>
      <c r="G17" s="5" t="s">
        <v>205</v>
      </c>
      <c r="H17" s="5" t="s">
        <v>47</v>
      </c>
      <c r="I17" s="3">
        <v>380</v>
      </c>
      <c r="J17" s="5" t="s">
        <v>598</v>
      </c>
      <c r="K17" s="6">
        <v>45792</v>
      </c>
      <c r="L17" s="6">
        <v>46022</v>
      </c>
      <c r="M17" s="5" t="str">
        <f>[1]Звіт!C15</f>
        <v>Виконано</v>
      </c>
    </row>
    <row r="18" spans="1:13" s="2" customFormat="1" ht="77.25" x14ac:dyDescent="0.25">
      <c r="A18" s="3">
        <v>14</v>
      </c>
      <c r="B18" s="4" t="str">
        <f>HYPERLINK("https://my.zakupivli.pro/remote/dispatcher/state_purchase_view/59777825", "UA-2025-05-30-000686-a")</f>
        <v>UA-2025-05-30-000686-a</v>
      </c>
      <c r="C18" s="5" t="s">
        <v>730</v>
      </c>
      <c r="D18" s="5" t="s">
        <v>422</v>
      </c>
      <c r="E18" s="5" t="s">
        <v>506</v>
      </c>
      <c r="F18" s="5" t="s">
        <v>482</v>
      </c>
      <c r="G18" s="5" t="s">
        <v>220</v>
      </c>
      <c r="H18" s="5" t="s">
        <v>61</v>
      </c>
      <c r="I18" s="3">
        <v>20000</v>
      </c>
      <c r="J18" s="5" t="s">
        <v>598</v>
      </c>
      <c r="K18" s="6">
        <v>45807</v>
      </c>
      <c r="L18" s="6">
        <v>46022</v>
      </c>
      <c r="M18" s="5" t="str">
        <f>[1]Звіт!C16</f>
        <v>Виконано</v>
      </c>
    </row>
    <row r="19" spans="1:13" s="2" customFormat="1" ht="39" x14ac:dyDescent="0.25">
      <c r="A19" s="3">
        <v>15</v>
      </c>
      <c r="B19" s="4" t="str">
        <f>HYPERLINK("https://my.zakupivli.pro/remote/dispatcher/state_purchase_view/63950112", "UA-2025-12-01-005032-a")</f>
        <v>UA-2025-12-01-005032-a</v>
      </c>
      <c r="C19" s="5" t="s">
        <v>621</v>
      </c>
      <c r="D19" s="5" t="s">
        <v>360</v>
      </c>
      <c r="E19" s="5" t="s">
        <v>506</v>
      </c>
      <c r="F19" s="5" t="s">
        <v>528</v>
      </c>
      <c r="G19" s="5" t="s">
        <v>212</v>
      </c>
      <c r="H19" s="5" t="s">
        <v>154</v>
      </c>
      <c r="I19" s="3">
        <v>85</v>
      </c>
      <c r="J19" s="5" t="s">
        <v>598</v>
      </c>
      <c r="K19" s="6">
        <v>45992</v>
      </c>
      <c r="L19" s="6">
        <v>46022</v>
      </c>
      <c r="M19" s="5" t="str">
        <f>[1]Звіт!C17</f>
        <v>Виконано</v>
      </c>
    </row>
    <row r="20" spans="1:13" s="2" customFormat="1" ht="39" x14ac:dyDescent="0.25">
      <c r="A20" s="3">
        <v>16</v>
      </c>
      <c r="B20" s="4" t="str">
        <f>HYPERLINK("https://my.zakupivli.pro/remote/dispatcher/state_purchase_view/64257096", "UA-2025-12-09-011695-a")</f>
        <v>UA-2025-12-09-011695-a</v>
      </c>
      <c r="C20" s="5" t="s">
        <v>803</v>
      </c>
      <c r="D20" s="5" t="s">
        <v>269</v>
      </c>
      <c r="E20" s="5" t="s">
        <v>506</v>
      </c>
      <c r="F20" s="5" t="s">
        <v>726</v>
      </c>
      <c r="G20" s="5" t="s">
        <v>197</v>
      </c>
      <c r="H20" s="5" t="s">
        <v>161</v>
      </c>
      <c r="I20" s="3">
        <v>1195</v>
      </c>
      <c r="J20" s="5" t="s">
        <v>598</v>
      </c>
      <c r="K20" s="6">
        <v>46000</v>
      </c>
      <c r="L20" s="6">
        <v>46022</v>
      </c>
      <c r="M20" s="5" t="str">
        <f>[1]Звіт!C18</f>
        <v>Виконано</v>
      </c>
    </row>
    <row r="21" spans="1:13" s="2" customFormat="1" ht="26.25" x14ac:dyDescent="0.25">
      <c r="A21" s="3">
        <v>17</v>
      </c>
      <c r="B21" s="4" t="str">
        <f>HYPERLINK("https://my.zakupivli.pro/remote/dispatcher/state_purchase_view/64301501", "UA-2025-12-10-008088-a")</f>
        <v>UA-2025-12-10-008088-a</v>
      </c>
      <c r="C21" s="5" t="s">
        <v>768</v>
      </c>
      <c r="D21" s="5" t="s">
        <v>185</v>
      </c>
      <c r="E21" s="5" t="s">
        <v>506</v>
      </c>
      <c r="F21" s="5" t="s">
        <v>514</v>
      </c>
      <c r="G21" s="5" t="s">
        <v>173</v>
      </c>
      <c r="H21" s="5" t="s">
        <v>163</v>
      </c>
      <c r="I21" s="3">
        <v>770</v>
      </c>
      <c r="J21" s="5" t="s">
        <v>598</v>
      </c>
      <c r="K21" s="6">
        <v>46001</v>
      </c>
      <c r="L21" s="6">
        <v>46022</v>
      </c>
      <c r="M21" s="5" t="str">
        <f>[1]Звіт!C19</f>
        <v>Виконано</v>
      </c>
    </row>
    <row r="22" spans="1:13" s="2" customFormat="1" ht="39" x14ac:dyDescent="0.25">
      <c r="A22" s="3">
        <v>18</v>
      </c>
      <c r="B22" s="4" t="str">
        <f>HYPERLINK("https://my.zakupivli.pro/remote/dispatcher/state_purchase_view/59639663", "UA-2025-05-23-008256-a")</f>
        <v>UA-2025-05-23-008256-a</v>
      </c>
      <c r="C22" s="5" t="s">
        <v>769</v>
      </c>
      <c r="D22" s="5" t="s">
        <v>85</v>
      </c>
      <c r="E22" s="5" t="s">
        <v>506</v>
      </c>
      <c r="F22" s="5" t="s">
        <v>591</v>
      </c>
      <c r="G22" s="5" t="s">
        <v>160</v>
      </c>
      <c r="H22" s="5" t="s">
        <v>56</v>
      </c>
      <c r="I22" s="7">
        <v>3958.08</v>
      </c>
      <c r="J22" s="5" t="s">
        <v>598</v>
      </c>
      <c r="K22" s="6">
        <v>45800</v>
      </c>
      <c r="L22" s="6">
        <v>46022</v>
      </c>
      <c r="M22" s="5" t="str">
        <f>[1]Звіт!C20</f>
        <v>Виконано</v>
      </c>
    </row>
    <row r="23" spans="1:13" s="2" customFormat="1" ht="39" x14ac:dyDescent="0.25">
      <c r="A23" s="3">
        <v>19</v>
      </c>
      <c r="B23" s="4" t="str">
        <f>HYPERLINK("https://my.zakupivli.pro/remote/dispatcher/state_purchase_view/60086450", "UA-2025-06-13-005229-a")</f>
        <v>UA-2025-06-13-005229-a</v>
      </c>
      <c r="C23" s="5" t="s">
        <v>823</v>
      </c>
      <c r="D23" s="5" t="s">
        <v>90</v>
      </c>
      <c r="E23" s="5" t="s">
        <v>506</v>
      </c>
      <c r="F23" s="5" t="s">
        <v>591</v>
      </c>
      <c r="G23" s="5" t="s">
        <v>160</v>
      </c>
      <c r="H23" s="5" t="s">
        <v>71</v>
      </c>
      <c r="I23" s="3">
        <v>675</v>
      </c>
      <c r="J23" s="5" t="s">
        <v>598</v>
      </c>
      <c r="K23" s="6">
        <v>45821</v>
      </c>
      <c r="L23" s="6">
        <v>46022</v>
      </c>
      <c r="M23" s="5" t="str">
        <f>[1]Звіт!C21</f>
        <v>Виконано</v>
      </c>
    </row>
    <row r="24" spans="1:13" s="2" customFormat="1" ht="64.5" x14ac:dyDescent="0.25">
      <c r="A24" s="3">
        <v>20</v>
      </c>
      <c r="B24" s="4" t="str">
        <f>HYPERLINK("https://my.zakupivli.pro/remote/dispatcher/state_purchase_view/60837434", "UA-2025-07-22-000407-a")</f>
        <v>UA-2025-07-22-000407-a</v>
      </c>
      <c r="C24" s="5" t="s">
        <v>628</v>
      </c>
      <c r="D24" s="5" t="s">
        <v>442</v>
      </c>
      <c r="E24" s="5" t="s">
        <v>506</v>
      </c>
      <c r="F24" s="5" t="s">
        <v>611</v>
      </c>
      <c r="G24" s="5" t="s">
        <v>248</v>
      </c>
      <c r="H24" s="5" t="s">
        <v>108</v>
      </c>
      <c r="I24" s="7">
        <v>3994.2</v>
      </c>
      <c r="J24" s="5" t="s">
        <v>705</v>
      </c>
      <c r="K24" s="6">
        <v>45860</v>
      </c>
      <c r="L24" s="6">
        <v>46022</v>
      </c>
      <c r="M24" s="5" t="str">
        <f>[1]Звіт!C22</f>
        <v>Виконано</v>
      </c>
    </row>
    <row r="25" spans="1:13" s="2" customFormat="1" ht="51.75" x14ac:dyDescent="0.25">
      <c r="A25" s="3">
        <v>21</v>
      </c>
      <c r="B25" s="4" t="str">
        <f>HYPERLINK("https://my.zakupivli.pro/remote/dispatcher/state_purchase_view/60872531", "UA-2025-07-23-003768-a")</f>
        <v>UA-2025-07-23-003768-a</v>
      </c>
      <c r="C25" s="5" t="s">
        <v>493</v>
      </c>
      <c r="D25" s="5" t="s">
        <v>10</v>
      </c>
      <c r="E25" s="5" t="s">
        <v>506</v>
      </c>
      <c r="F25" s="5" t="s">
        <v>591</v>
      </c>
      <c r="G25" s="5" t="s">
        <v>160</v>
      </c>
      <c r="H25" s="5" t="s">
        <v>109</v>
      </c>
      <c r="I25" s="3">
        <v>4320</v>
      </c>
      <c r="J25" s="5" t="s">
        <v>598</v>
      </c>
      <c r="K25" s="6">
        <v>45861</v>
      </c>
      <c r="L25" s="6">
        <v>46022</v>
      </c>
      <c r="M25" s="5" t="str">
        <f>[1]Звіт!C23</f>
        <v>Виконано</v>
      </c>
    </row>
    <row r="26" spans="1:13" s="2" customFormat="1" ht="39" x14ac:dyDescent="0.25">
      <c r="A26" s="3">
        <v>22</v>
      </c>
      <c r="B26" s="4" t="str">
        <f>HYPERLINK("https://my.zakupivli.pro/remote/dispatcher/state_purchase_view/60874108", "UA-2025-07-23-004500-a")</f>
        <v>UA-2025-07-23-004500-a</v>
      </c>
      <c r="C26" s="5" t="s">
        <v>586</v>
      </c>
      <c r="D26" s="5" t="s">
        <v>84</v>
      </c>
      <c r="E26" s="5" t="s">
        <v>506</v>
      </c>
      <c r="F26" s="5" t="s">
        <v>591</v>
      </c>
      <c r="G26" s="5" t="s">
        <v>160</v>
      </c>
      <c r="H26" s="5" t="s">
        <v>111</v>
      </c>
      <c r="I26" s="3">
        <v>21952</v>
      </c>
      <c r="J26" s="5" t="s">
        <v>598</v>
      </c>
      <c r="K26" s="6">
        <v>45861</v>
      </c>
      <c r="L26" s="6">
        <v>46022</v>
      </c>
      <c r="M26" s="5" t="str">
        <f>[1]Звіт!C24</f>
        <v>Виконано</v>
      </c>
    </row>
    <row r="27" spans="1:13" s="2" customFormat="1" ht="51.75" x14ac:dyDescent="0.25">
      <c r="A27" s="3">
        <v>23</v>
      </c>
      <c r="B27" s="4" t="str">
        <f>HYPERLINK("https://my.zakupivli.pro/remote/dispatcher/state_purchase_view/60874974", "UA-2025-07-23-004883-a")</f>
        <v>UA-2025-07-23-004883-a</v>
      </c>
      <c r="C27" s="5" t="s">
        <v>457</v>
      </c>
      <c r="D27" s="5" t="s">
        <v>424</v>
      </c>
      <c r="E27" s="5" t="s">
        <v>506</v>
      </c>
      <c r="F27" s="5" t="s">
        <v>681</v>
      </c>
      <c r="G27" s="5" t="s">
        <v>335</v>
      </c>
      <c r="H27" s="5" t="s">
        <v>101</v>
      </c>
      <c r="I27" s="3">
        <v>75000</v>
      </c>
      <c r="J27" s="5" t="s">
        <v>598</v>
      </c>
      <c r="K27" s="6">
        <v>45861</v>
      </c>
      <c r="L27" s="6">
        <v>46022</v>
      </c>
      <c r="M27" s="5" t="str">
        <f>[1]Звіт!C25</f>
        <v>Виконано</v>
      </c>
    </row>
    <row r="28" spans="1:13" s="2" customFormat="1" ht="39" x14ac:dyDescent="0.25">
      <c r="A28" s="3">
        <v>24</v>
      </c>
      <c r="B28" s="4" t="str">
        <f>HYPERLINK("https://my.zakupivli.pro/remote/dispatcher/state_purchase_view/61229657", "UA-2025-08-12-002628-a")</f>
        <v>UA-2025-08-12-002628-a</v>
      </c>
      <c r="C28" s="5" t="s">
        <v>813</v>
      </c>
      <c r="D28" s="5" t="s">
        <v>409</v>
      </c>
      <c r="E28" s="5" t="s">
        <v>506</v>
      </c>
      <c r="F28" s="5" t="s">
        <v>679</v>
      </c>
      <c r="G28" s="5" t="s">
        <v>288</v>
      </c>
      <c r="H28" s="5" t="s">
        <v>120</v>
      </c>
      <c r="I28" s="3">
        <v>3300</v>
      </c>
      <c r="J28" s="5" t="s">
        <v>598</v>
      </c>
      <c r="K28" s="6">
        <v>45881</v>
      </c>
      <c r="L28" s="6">
        <v>46022</v>
      </c>
      <c r="M28" s="5" t="str">
        <f>[1]Звіт!C26</f>
        <v>Виконано</v>
      </c>
    </row>
    <row r="29" spans="1:13" s="2" customFormat="1" ht="26.25" x14ac:dyDescent="0.25">
      <c r="A29" s="3">
        <v>25</v>
      </c>
      <c r="B29" s="4" t="str">
        <f>HYPERLINK("https://my.zakupivli.pro/remote/dispatcher/state_purchase_view/63600915", "UA-2025-11-19-003527-a")</f>
        <v>UA-2025-11-19-003527-a</v>
      </c>
      <c r="C29" s="5" t="s">
        <v>804</v>
      </c>
      <c r="D29" s="5" t="s">
        <v>328</v>
      </c>
      <c r="E29" s="5" t="s">
        <v>506</v>
      </c>
      <c r="F29" s="5" t="s">
        <v>466</v>
      </c>
      <c r="G29" s="5" t="s">
        <v>206</v>
      </c>
      <c r="H29" s="5" t="s">
        <v>147</v>
      </c>
      <c r="I29" s="3">
        <v>840</v>
      </c>
      <c r="J29" s="5" t="s">
        <v>598</v>
      </c>
      <c r="K29" s="6">
        <v>45980</v>
      </c>
      <c r="L29" s="6">
        <v>46022</v>
      </c>
      <c r="M29" s="5" t="str">
        <f>[1]Звіт!C27</f>
        <v>Виконано</v>
      </c>
    </row>
    <row r="30" spans="1:13" s="2" customFormat="1" ht="26.25" x14ac:dyDescent="0.25">
      <c r="A30" s="3">
        <v>26</v>
      </c>
      <c r="B30" s="4" t="str">
        <f>HYPERLINK("https://my.zakupivli.pro/remote/dispatcher/state_purchase_view/63599414", "UA-2025-11-19-002866-a")</f>
        <v>UA-2025-11-19-002866-a</v>
      </c>
      <c r="C30" s="5" t="s">
        <v>836</v>
      </c>
      <c r="D30" s="5" t="s">
        <v>352</v>
      </c>
      <c r="E30" s="5" t="s">
        <v>506</v>
      </c>
      <c r="F30" s="5" t="s">
        <v>466</v>
      </c>
      <c r="G30" s="5" t="s">
        <v>206</v>
      </c>
      <c r="H30" s="5" t="s">
        <v>147</v>
      </c>
      <c r="I30" s="3">
        <v>246</v>
      </c>
      <c r="J30" s="5" t="s">
        <v>598</v>
      </c>
      <c r="K30" s="6">
        <v>45980</v>
      </c>
      <c r="L30" s="6">
        <v>46022</v>
      </c>
      <c r="M30" s="5" t="str">
        <f>[1]Звіт!C28</f>
        <v>Виконано</v>
      </c>
    </row>
    <row r="31" spans="1:13" s="2" customFormat="1" ht="115.5" x14ac:dyDescent="0.25">
      <c r="A31" s="3">
        <v>27</v>
      </c>
      <c r="B31" s="4" t="str">
        <f>HYPERLINK("https://my.zakupivli.pro/remote/dispatcher/state_purchase_view/60441232", "UA-2025-07-01-004195-a")</f>
        <v>UA-2025-07-01-004195-a</v>
      </c>
      <c r="C31" s="5" t="s">
        <v>501</v>
      </c>
      <c r="D31" s="5" t="s">
        <v>251</v>
      </c>
      <c r="E31" s="5" t="s">
        <v>506</v>
      </c>
      <c r="F31" s="5" t="s">
        <v>690</v>
      </c>
      <c r="G31" s="5" t="s">
        <v>320</v>
      </c>
      <c r="H31" s="5" t="s">
        <v>89</v>
      </c>
      <c r="I31" s="3">
        <v>72894</v>
      </c>
      <c r="J31" s="5" t="s">
        <v>705</v>
      </c>
      <c r="K31" s="6">
        <v>45839</v>
      </c>
      <c r="L31" s="6">
        <v>46022</v>
      </c>
      <c r="M31" s="5" t="str">
        <f>[1]Звіт!C29</f>
        <v>Виконано</v>
      </c>
    </row>
    <row r="32" spans="1:13" s="2" customFormat="1" ht="409.6" x14ac:dyDescent="0.25">
      <c r="A32" s="3">
        <v>28</v>
      </c>
      <c r="B32" s="4" t="str">
        <f>HYPERLINK("https://my.zakupivli.pro/remote/dispatcher/state_purchase_view/58564129", "UA-2025-04-04-008792-a")</f>
        <v>UA-2025-04-04-008792-a</v>
      </c>
      <c r="C32" s="5" t="s">
        <v>590</v>
      </c>
      <c r="D32" s="5" t="s">
        <v>264</v>
      </c>
      <c r="E32" s="5" t="s">
        <v>506</v>
      </c>
      <c r="F32" s="5" t="s">
        <v>609</v>
      </c>
      <c r="G32" s="5" t="s">
        <v>298</v>
      </c>
      <c r="H32" s="5" t="s">
        <v>437</v>
      </c>
      <c r="I32" s="3">
        <v>98066</v>
      </c>
      <c r="J32" s="5" t="s">
        <v>598</v>
      </c>
      <c r="K32" s="6">
        <v>45751</v>
      </c>
      <c r="L32" s="6">
        <v>46022</v>
      </c>
      <c r="M32" s="5" t="str">
        <f>[1]Звіт!C30</f>
        <v>Виконано</v>
      </c>
    </row>
    <row r="33" spans="1:13" s="2" customFormat="1" ht="64.5" x14ac:dyDescent="0.25">
      <c r="A33" s="3">
        <v>29</v>
      </c>
      <c r="B33" s="4" t="str">
        <f>HYPERLINK("https://my.zakupivli.pro/remote/dispatcher/state_purchase_view/56113444", "UA-2024-12-24-001236-a")</f>
        <v>UA-2024-12-24-001236-a</v>
      </c>
      <c r="C33" s="5" t="s">
        <v>497</v>
      </c>
      <c r="D33" s="5" t="s">
        <v>444</v>
      </c>
      <c r="E33" s="5" t="s">
        <v>479</v>
      </c>
      <c r="F33" s="5" t="s">
        <v>678</v>
      </c>
      <c r="G33" s="5" t="s">
        <v>63</v>
      </c>
      <c r="H33" s="5" t="s">
        <v>431</v>
      </c>
      <c r="I33" s="7">
        <v>177212.7</v>
      </c>
      <c r="J33" s="5" t="s">
        <v>598</v>
      </c>
      <c r="K33" s="6">
        <v>45671</v>
      </c>
      <c r="L33" s="6">
        <v>46022</v>
      </c>
      <c r="M33" s="5" t="str">
        <f>[1]Звіт!C31</f>
        <v>Виконано</v>
      </c>
    </row>
    <row r="34" spans="1:13" s="2" customFormat="1" ht="26.25" x14ac:dyDescent="0.25">
      <c r="A34" s="3">
        <v>30</v>
      </c>
      <c r="B34" s="4" t="str">
        <f>HYPERLINK("https://my.zakupivli.pro/remote/dispatcher/state_purchase_view/57825385", "UA-2025-03-03-009651-a")</f>
        <v>UA-2025-03-03-009651-a</v>
      </c>
      <c r="C34" s="5" t="s">
        <v>467</v>
      </c>
      <c r="D34" s="5" t="s">
        <v>21</v>
      </c>
      <c r="E34" s="5" t="s">
        <v>508</v>
      </c>
      <c r="F34" s="5" t="s">
        <v>460</v>
      </c>
      <c r="G34" s="5" t="s">
        <v>233</v>
      </c>
      <c r="H34" s="5" t="s">
        <v>412</v>
      </c>
      <c r="I34" s="7">
        <v>155400</v>
      </c>
      <c r="J34" s="5" t="s">
        <v>705</v>
      </c>
      <c r="K34" s="6">
        <v>45728</v>
      </c>
      <c r="L34" s="6">
        <v>46022</v>
      </c>
      <c r="M34" s="5" t="str">
        <f>[1]Звіт!C32</f>
        <v>Виконано</v>
      </c>
    </row>
    <row r="35" spans="1:13" s="2" customFormat="1" ht="26.25" x14ac:dyDescent="0.25">
      <c r="A35" s="3">
        <v>31</v>
      </c>
      <c r="B35" s="4" t="str">
        <f>HYPERLINK("https://my.zakupivli.pro/remote/dispatcher/state_purchase_view/59578716", "UA-2025-05-21-010186-a")</f>
        <v>UA-2025-05-21-010186-a</v>
      </c>
      <c r="C35" s="5" t="s">
        <v>568</v>
      </c>
      <c r="D35" s="5" t="s">
        <v>82</v>
      </c>
      <c r="E35" s="5" t="s">
        <v>508</v>
      </c>
      <c r="F35" s="5" t="s">
        <v>465</v>
      </c>
      <c r="G35" s="5" t="s">
        <v>236</v>
      </c>
      <c r="H35" s="5" t="s">
        <v>60</v>
      </c>
      <c r="I35" s="7">
        <v>92496</v>
      </c>
      <c r="J35" s="5" t="s">
        <v>705</v>
      </c>
      <c r="K35" s="6">
        <v>45805</v>
      </c>
      <c r="L35" s="6">
        <v>46022</v>
      </c>
      <c r="M35" s="5" t="str">
        <f>[1]Звіт!C33</f>
        <v>Виконано</v>
      </c>
    </row>
    <row r="36" spans="1:13" s="2" customFormat="1" ht="26.25" x14ac:dyDescent="0.25">
      <c r="A36" s="3">
        <v>32</v>
      </c>
      <c r="B36" s="4" t="str">
        <f>HYPERLINK("https://my.zakupivli.pro/remote/dispatcher/state_purchase_view/59864650", "UA-2025-06-04-001205-a")</f>
        <v>UA-2025-06-04-001205-a</v>
      </c>
      <c r="C36" s="5" t="s">
        <v>721</v>
      </c>
      <c r="D36" s="5" t="s">
        <v>82</v>
      </c>
      <c r="E36" s="5" t="s">
        <v>508</v>
      </c>
      <c r="F36" s="5" t="s">
        <v>465</v>
      </c>
      <c r="G36" s="5" t="s">
        <v>236</v>
      </c>
      <c r="H36" s="5" t="s">
        <v>67</v>
      </c>
      <c r="I36" s="7">
        <v>289008</v>
      </c>
      <c r="J36" s="5" t="s">
        <v>705</v>
      </c>
      <c r="K36" s="6">
        <v>45819</v>
      </c>
      <c r="L36" s="6">
        <v>46022</v>
      </c>
      <c r="M36" s="5" t="str">
        <f>[1]Звіт!C34</f>
        <v>Виконано</v>
      </c>
    </row>
    <row r="37" spans="1:13" s="2" customFormat="1" ht="39" x14ac:dyDescent="0.25">
      <c r="A37" s="3">
        <v>33</v>
      </c>
      <c r="B37" s="4" t="str">
        <f>HYPERLINK("https://my.zakupivli.pro/remote/dispatcher/state_purchase_view/61910763", "UA-2025-09-12-006728-a")</f>
        <v>UA-2025-09-12-006728-a</v>
      </c>
      <c r="C37" s="5" t="s">
        <v>824</v>
      </c>
      <c r="D37" s="5" t="s">
        <v>90</v>
      </c>
      <c r="E37" s="5" t="s">
        <v>506</v>
      </c>
      <c r="F37" s="5" t="s">
        <v>591</v>
      </c>
      <c r="G37" s="5" t="s">
        <v>160</v>
      </c>
      <c r="H37" s="5" t="s">
        <v>122</v>
      </c>
      <c r="I37" s="3">
        <v>3900</v>
      </c>
      <c r="J37" s="5" t="s">
        <v>598</v>
      </c>
      <c r="K37" s="6">
        <v>45912</v>
      </c>
      <c r="L37" s="6">
        <v>46022</v>
      </c>
      <c r="M37" s="5" t="str">
        <f>[1]Звіт!C35</f>
        <v>Виконано</v>
      </c>
    </row>
    <row r="38" spans="1:13" s="2" customFormat="1" ht="26.25" x14ac:dyDescent="0.25">
      <c r="A38" s="3">
        <v>34</v>
      </c>
      <c r="B38" s="4" t="str">
        <f>HYPERLINK("https://my.zakupivli.pro/remote/dispatcher/state_purchase_view/62303100", "UA-2025-09-30-002284-a")</f>
        <v>UA-2025-09-30-002284-a</v>
      </c>
      <c r="C38" s="5" t="s">
        <v>790</v>
      </c>
      <c r="D38" s="5" t="s">
        <v>342</v>
      </c>
      <c r="E38" s="5" t="s">
        <v>506</v>
      </c>
      <c r="F38" s="5" t="s">
        <v>514</v>
      </c>
      <c r="G38" s="5" t="s">
        <v>173</v>
      </c>
      <c r="H38" s="5" t="s">
        <v>125</v>
      </c>
      <c r="I38" s="7">
        <v>15327.2</v>
      </c>
      <c r="J38" s="5" t="s">
        <v>598</v>
      </c>
      <c r="K38" s="6">
        <v>45930</v>
      </c>
      <c r="L38" s="6">
        <v>46022</v>
      </c>
      <c r="M38" s="5" t="str">
        <f>[1]Звіт!C36</f>
        <v>Виконано</v>
      </c>
    </row>
    <row r="39" spans="1:13" s="2" customFormat="1" ht="26.25" x14ac:dyDescent="0.25">
      <c r="A39" s="3">
        <v>35</v>
      </c>
      <c r="B39" s="4" t="str">
        <f>HYPERLINK("https://my.zakupivli.pro/remote/dispatcher/state_purchase_view/62305904", "UA-2025-09-30-003564-a")</f>
        <v>UA-2025-09-30-003564-a</v>
      </c>
      <c r="C39" s="5" t="s">
        <v>851</v>
      </c>
      <c r="D39" s="5" t="s">
        <v>339</v>
      </c>
      <c r="E39" s="5" t="s">
        <v>506</v>
      </c>
      <c r="F39" s="5" t="s">
        <v>514</v>
      </c>
      <c r="G39" s="5" t="s">
        <v>173</v>
      </c>
      <c r="H39" s="5" t="s">
        <v>125</v>
      </c>
      <c r="I39" s="3">
        <v>1850</v>
      </c>
      <c r="J39" s="5" t="s">
        <v>598</v>
      </c>
      <c r="K39" s="6">
        <v>45930</v>
      </c>
      <c r="L39" s="6">
        <v>46022</v>
      </c>
      <c r="M39" s="5" t="str">
        <f>[1]Звіт!C37</f>
        <v>Виконано</v>
      </c>
    </row>
    <row r="40" spans="1:13" s="2" customFormat="1" ht="51.75" x14ac:dyDescent="0.25">
      <c r="A40" s="3">
        <v>36</v>
      </c>
      <c r="B40" s="4" t="str">
        <f>HYPERLINK("https://my.zakupivli.pro/remote/dispatcher/state_purchase_view/62611051", "UA-2025-10-13-009627-a")</f>
        <v>UA-2025-10-13-009627-a</v>
      </c>
      <c r="C40" s="5" t="s">
        <v>637</v>
      </c>
      <c r="D40" s="5" t="s">
        <v>443</v>
      </c>
      <c r="E40" s="5" t="s">
        <v>506</v>
      </c>
      <c r="F40" s="5" t="s">
        <v>687</v>
      </c>
      <c r="G40" s="5" t="s">
        <v>290</v>
      </c>
      <c r="H40" s="5" t="s">
        <v>79</v>
      </c>
      <c r="I40" s="7">
        <v>17107.2</v>
      </c>
      <c r="J40" s="5" t="s">
        <v>705</v>
      </c>
      <c r="K40" s="6">
        <v>45943</v>
      </c>
      <c r="L40" s="6">
        <v>46022</v>
      </c>
      <c r="M40" s="5" t="str">
        <f>[1]Звіт!C38</f>
        <v>Виконано</v>
      </c>
    </row>
    <row r="41" spans="1:13" s="2" customFormat="1" ht="90" x14ac:dyDescent="0.25">
      <c r="A41" s="3">
        <v>37</v>
      </c>
      <c r="B41" s="4" t="str">
        <f>HYPERLINK("https://my.zakupivli.pro/remote/dispatcher/state_purchase_view/59468749", "UA-2025-05-16-002061-a")</f>
        <v>UA-2025-05-16-002061-a</v>
      </c>
      <c r="C41" s="5" t="s">
        <v>626</v>
      </c>
      <c r="D41" s="5" t="s">
        <v>418</v>
      </c>
      <c r="E41" s="5" t="s">
        <v>506</v>
      </c>
      <c r="F41" s="5" t="s">
        <v>485</v>
      </c>
      <c r="G41" s="5" t="s">
        <v>247</v>
      </c>
      <c r="H41" s="5" t="s">
        <v>48</v>
      </c>
      <c r="I41" s="7">
        <v>35283.65</v>
      </c>
      <c r="J41" s="5" t="s">
        <v>598</v>
      </c>
      <c r="K41" s="6">
        <v>45793</v>
      </c>
      <c r="L41" s="6">
        <v>46022</v>
      </c>
      <c r="M41" s="5" t="str">
        <f>[1]Звіт!C39</f>
        <v>Виконано</v>
      </c>
    </row>
    <row r="42" spans="1:13" s="2" customFormat="1" ht="115.5" x14ac:dyDescent="0.25">
      <c r="A42" s="3">
        <v>38</v>
      </c>
      <c r="B42" s="4" t="str">
        <f>HYPERLINK("https://my.zakupivli.pro/remote/dispatcher/state_purchase_view/58430657", "UA-2025-03-31-001209-a")</f>
        <v>UA-2025-03-31-001209-a</v>
      </c>
      <c r="C42" s="5" t="s">
        <v>533</v>
      </c>
      <c r="D42" s="5" t="s">
        <v>261</v>
      </c>
      <c r="E42" s="5" t="s">
        <v>508</v>
      </c>
      <c r="F42" s="5" t="s">
        <v>674</v>
      </c>
      <c r="G42" s="5" t="s">
        <v>151</v>
      </c>
      <c r="H42" s="5" t="s">
        <v>438</v>
      </c>
      <c r="I42" s="7">
        <v>71601.19</v>
      </c>
      <c r="J42" s="5" t="s">
        <v>705</v>
      </c>
      <c r="K42" s="6">
        <v>45754</v>
      </c>
      <c r="L42" s="6">
        <v>46022</v>
      </c>
      <c r="M42" s="5" t="str">
        <f>[1]Звіт!C40</f>
        <v>Виконано</v>
      </c>
    </row>
    <row r="43" spans="1:13" s="2" customFormat="1" ht="26.25" x14ac:dyDescent="0.25">
      <c r="A43" s="3">
        <v>39</v>
      </c>
      <c r="B43" s="4" t="str">
        <f>HYPERLINK("https://my.zakupivli.pro/remote/dispatcher/state_purchase_view/65029672", "UA-2025-12-30-006878-a")</f>
        <v>UA-2025-12-30-006878-a</v>
      </c>
      <c r="C43" s="5" t="s">
        <v>487</v>
      </c>
      <c r="D43" s="5" t="s">
        <v>12</v>
      </c>
      <c r="E43" s="5" t="s">
        <v>506</v>
      </c>
      <c r="F43" s="5" t="s">
        <v>564</v>
      </c>
      <c r="G43" s="5" t="s">
        <v>231</v>
      </c>
      <c r="H43" s="5" t="s">
        <v>183</v>
      </c>
      <c r="I43" s="3">
        <v>3100</v>
      </c>
      <c r="J43" s="5" t="s">
        <v>598</v>
      </c>
      <c r="K43" s="6">
        <v>46021</v>
      </c>
      <c r="L43" s="6">
        <v>46022</v>
      </c>
      <c r="M43" s="5" t="str">
        <f>[1]Звіт!C41</f>
        <v>Виконано</v>
      </c>
    </row>
    <row r="44" spans="1:13" s="2" customFormat="1" ht="51.75" x14ac:dyDescent="0.25">
      <c r="A44" s="3">
        <v>40</v>
      </c>
      <c r="B44" s="4" t="str">
        <f>HYPERLINK("https://my.zakupivli.pro/remote/dispatcher/state_purchase_view/65029102", "UA-2025-12-30-006649-a")</f>
        <v>UA-2025-12-30-006649-a</v>
      </c>
      <c r="C44" s="5" t="s">
        <v>493</v>
      </c>
      <c r="D44" s="5" t="s">
        <v>10</v>
      </c>
      <c r="E44" s="5" t="s">
        <v>506</v>
      </c>
      <c r="F44" s="5" t="s">
        <v>564</v>
      </c>
      <c r="G44" s="5" t="s">
        <v>231</v>
      </c>
      <c r="H44" s="5" t="s">
        <v>183</v>
      </c>
      <c r="I44" s="3">
        <v>4896</v>
      </c>
      <c r="J44" s="5" t="s">
        <v>598</v>
      </c>
      <c r="K44" s="6">
        <v>46021</v>
      </c>
      <c r="L44" s="6">
        <v>46022</v>
      </c>
      <c r="M44" s="5" t="str">
        <f>[1]Звіт!C42</f>
        <v>Виконано</v>
      </c>
    </row>
    <row r="45" spans="1:13" s="2" customFormat="1" ht="51.75" x14ac:dyDescent="0.25">
      <c r="A45" s="3">
        <v>41</v>
      </c>
      <c r="B45" s="4" t="str">
        <f>HYPERLINK("https://my.zakupivli.pro/remote/dispatcher/state_purchase_view/56939241", "UA-2025-01-27-011656-a")</f>
        <v>UA-2025-01-27-011656-a</v>
      </c>
      <c r="C45" s="5" t="s">
        <v>226</v>
      </c>
      <c r="D45" s="5" t="s">
        <v>226</v>
      </c>
      <c r="E45" s="5" t="s">
        <v>506</v>
      </c>
      <c r="F45" s="5" t="s">
        <v>696</v>
      </c>
      <c r="G45" s="5" t="s">
        <v>275</v>
      </c>
      <c r="H45" s="5" t="s">
        <v>19</v>
      </c>
      <c r="I45" s="7">
        <v>9294.0499999999993</v>
      </c>
      <c r="J45" s="5" t="s">
        <v>705</v>
      </c>
      <c r="K45" s="6">
        <v>45684</v>
      </c>
      <c r="L45" s="6">
        <v>46022</v>
      </c>
      <c r="M45" s="5" t="str">
        <f>[1]Звіт!C43</f>
        <v>Виконано</v>
      </c>
    </row>
    <row r="46" spans="1:13" s="2" customFormat="1" ht="51.75" x14ac:dyDescent="0.25">
      <c r="A46" s="3">
        <v>42</v>
      </c>
      <c r="B46" s="4" t="str">
        <f>HYPERLINK("https://my.zakupivli.pro/remote/dispatcher/state_purchase_view/58983892", "UA-2025-04-25-000972-a")</f>
        <v>UA-2025-04-25-000972-a</v>
      </c>
      <c r="C46" s="5" t="s">
        <v>632</v>
      </c>
      <c r="D46" s="5" t="s">
        <v>377</v>
      </c>
      <c r="E46" s="5" t="s">
        <v>506</v>
      </c>
      <c r="F46" s="5" t="s">
        <v>714</v>
      </c>
      <c r="G46" s="5" t="s">
        <v>319</v>
      </c>
      <c r="H46" s="5" t="s">
        <v>297</v>
      </c>
      <c r="I46" s="7">
        <v>789.52</v>
      </c>
      <c r="J46" s="5" t="s">
        <v>705</v>
      </c>
      <c r="K46" s="6">
        <v>45772</v>
      </c>
      <c r="L46" s="6">
        <v>46022</v>
      </c>
      <c r="M46" s="5" t="str">
        <f>[1]Звіт!C44</f>
        <v>Виконано</v>
      </c>
    </row>
    <row r="47" spans="1:13" s="2" customFormat="1" ht="39" x14ac:dyDescent="0.25">
      <c r="A47" s="3">
        <v>43</v>
      </c>
      <c r="B47" s="4" t="str">
        <f>HYPERLINK("https://my.zakupivli.pro/remote/dispatcher/state_purchase_view/58960399", "UA-2025-04-24-003572-a")</f>
        <v>UA-2025-04-24-003572-a</v>
      </c>
      <c r="C47" s="5" t="s">
        <v>818</v>
      </c>
      <c r="D47" s="5" t="s">
        <v>340</v>
      </c>
      <c r="E47" s="5" t="s">
        <v>506</v>
      </c>
      <c r="F47" s="5" t="s">
        <v>466</v>
      </c>
      <c r="G47" s="5" t="s">
        <v>206</v>
      </c>
      <c r="H47" s="5" t="s">
        <v>34</v>
      </c>
      <c r="I47" s="3">
        <v>185</v>
      </c>
      <c r="J47" s="5" t="s">
        <v>598</v>
      </c>
      <c r="K47" s="6">
        <v>45771</v>
      </c>
      <c r="L47" s="6">
        <v>46022</v>
      </c>
      <c r="M47" s="5" t="str">
        <f>[1]Звіт!C45</f>
        <v>Виконано</v>
      </c>
    </row>
    <row r="48" spans="1:13" s="2" customFormat="1" ht="26.25" x14ac:dyDescent="0.25">
      <c r="A48" s="3">
        <v>44</v>
      </c>
      <c r="B48" s="4" t="str">
        <f>HYPERLINK("https://my.zakupivli.pro/remote/dispatcher/state_purchase_view/59340791", "UA-2025-05-12-002653-a")</f>
        <v>UA-2025-05-12-002653-a</v>
      </c>
      <c r="C48" s="5" t="s">
        <v>720</v>
      </c>
      <c r="D48" s="5" t="s">
        <v>359</v>
      </c>
      <c r="E48" s="5" t="s">
        <v>506</v>
      </c>
      <c r="F48" s="5" t="s">
        <v>505</v>
      </c>
      <c r="G48" s="5" t="s">
        <v>143</v>
      </c>
      <c r="H48" s="5" t="s">
        <v>20</v>
      </c>
      <c r="I48" s="7">
        <v>13429.92</v>
      </c>
      <c r="J48" s="5" t="s">
        <v>705</v>
      </c>
      <c r="K48" s="6">
        <v>45786</v>
      </c>
      <c r="L48" s="6">
        <v>46022</v>
      </c>
      <c r="M48" s="5" t="str">
        <f>[1]Звіт!C46</f>
        <v>Виконано</v>
      </c>
    </row>
    <row r="49" spans="1:13" s="2" customFormat="1" ht="26.25" x14ac:dyDescent="0.25">
      <c r="A49" s="3">
        <v>45</v>
      </c>
      <c r="B49" s="4" t="str">
        <f>HYPERLINK("https://my.zakupivli.pro/remote/dispatcher/state_purchase_view/58588924", "UA-2025-04-07-006364-a")</f>
        <v>UA-2025-04-07-006364-a</v>
      </c>
      <c r="C49" s="5" t="s">
        <v>829</v>
      </c>
      <c r="D49" s="5" t="s">
        <v>121</v>
      </c>
      <c r="E49" s="5" t="s">
        <v>506</v>
      </c>
      <c r="F49" s="5" t="s">
        <v>525</v>
      </c>
      <c r="G49" s="5" t="s">
        <v>205</v>
      </c>
      <c r="H49" s="5" t="s">
        <v>445</v>
      </c>
      <c r="I49" s="3">
        <v>144</v>
      </c>
      <c r="J49" s="5" t="s">
        <v>598</v>
      </c>
      <c r="K49" s="6">
        <v>45754</v>
      </c>
      <c r="L49" s="6">
        <v>46022</v>
      </c>
      <c r="M49" s="5" t="str">
        <f>[1]Звіт!C47</f>
        <v>Виконано</v>
      </c>
    </row>
    <row r="50" spans="1:13" s="2" customFormat="1" ht="26.25" x14ac:dyDescent="0.25">
      <c r="A50" s="3">
        <v>46</v>
      </c>
      <c r="B50" s="4" t="str">
        <f>HYPERLINK("https://my.zakupivli.pro/remote/dispatcher/state_purchase_view/58328334", "UA-2025-03-25-007083-a")</f>
        <v>UA-2025-03-25-007083-a</v>
      </c>
      <c r="C50" s="5" t="s">
        <v>842</v>
      </c>
      <c r="D50" s="5" t="s">
        <v>345</v>
      </c>
      <c r="E50" s="5" t="s">
        <v>506</v>
      </c>
      <c r="F50" s="5" t="s">
        <v>474</v>
      </c>
      <c r="G50" s="5" t="s">
        <v>280</v>
      </c>
      <c r="H50" s="5" t="s">
        <v>415</v>
      </c>
      <c r="I50" s="3">
        <v>69</v>
      </c>
      <c r="J50" s="5" t="s">
        <v>598</v>
      </c>
      <c r="K50" s="6">
        <v>45741</v>
      </c>
      <c r="L50" s="6">
        <v>46022</v>
      </c>
      <c r="M50" s="5" t="str">
        <f>[1]Звіт!C48</f>
        <v>Виконано</v>
      </c>
    </row>
    <row r="51" spans="1:13" s="2" customFormat="1" ht="26.25" x14ac:dyDescent="0.25">
      <c r="A51" s="3">
        <v>47</v>
      </c>
      <c r="B51" s="4" t="str">
        <f>HYPERLINK("https://my.zakupivli.pro/remote/dispatcher/state_purchase_view/58412637", "UA-2025-03-28-005659-a")</f>
        <v>UA-2025-03-28-005659-a</v>
      </c>
      <c r="C51" s="5" t="s">
        <v>826</v>
      </c>
      <c r="D51" s="5" t="s">
        <v>360</v>
      </c>
      <c r="E51" s="5" t="s">
        <v>506</v>
      </c>
      <c r="F51" s="5" t="s">
        <v>525</v>
      </c>
      <c r="G51" s="5" t="s">
        <v>205</v>
      </c>
      <c r="H51" s="5" t="s">
        <v>421</v>
      </c>
      <c r="I51" s="3">
        <v>480</v>
      </c>
      <c r="J51" s="5" t="s">
        <v>598</v>
      </c>
      <c r="K51" s="6">
        <v>45744</v>
      </c>
      <c r="L51" s="6">
        <v>46022</v>
      </c>
      <c r="M51" s="5" t="str">
        <f>[1]Звіт!C49</f>
        <v>Виконано</v>
      </c>
    </row>
    <row r="52" spans="1:13" s="2" customFormat="1" ht="39" x14ac:dyDescent="0.25">
      <c r="A52" s="3">
        <v>48</v>
      </c>
      <c r="B52" s="4" t="str">
        <f>HYPERLINK("https://my.zakupivli.pro/remote/dispatcher/state_purchase_view/58188133", "UA-2025-03-19-002434-a")</f>
        <v>UA-2025-03-19-002434-a</v>
      </c>
      <c r="C52" s="5" t="s">
        <v>520</v>
      </c>
      <c r="D52" s="5" t="s">
        <v>164</v>
      </c>
      <c r="E52" s="5" t="s">
        <v>506</v>
      </c>
      <c r="F52" s="5" t="s">
        <v>722</v>
      </c>
      <c r="G52" s="5" t="s">
        <v>218</v>
      </c>
      <c r="H52" s="5" t="s">
        <v>370</v>
      </c>
      <c r="I52" s="3">
        <v>6756</v>
      </c>
      <c r="J52" s="5" t="s">
        <v>598</v>
      </c>
      <c r="K52" s="6">
        <v>45735</v>
      </c>
      <c r="L52" s="6">
        <v>46022</v>
      </c>
      <c r="M52" s="5" t="str">
        <f>[1]Звіт!C50</f>
        <v>Виконано</v>
      </c>
    </row>
    <row r="53" spans="1:13" s="2" customFormat="1" ht="39" x14ac:dyDescent="0.25">
      <c r="A53" s="3">
        <v>49</v>
      </c>
      <c r="B53" s="4" t="str">
        <f>HYPERLINK("https://my.zakupivli.pro/remote/dispatcher/state_purchase_view/58908603", "UA-2025-04-22-005054-a")</f>
        <v>UA-2025-04-22-005054-a</v>
      </c>
      <c r="C53" s="5" t="s">
        <v>731</v>
      </c>
      <c r="D53" s="5" t="s">
        <v>235</v>
      </c>
      <c r="E53" s="5" t="s">
        <v>506</v>
      </c>
      <c r="F53" s="5" t="s">
        <v>660</v>
      </c>
      <c r="G53" s="5" t="s">
        <v>162</v>
      </c>
      <c r="H53" s="5" t="s">
        <v>29</v>
      </c>
      <c r="I53" s="3">
        <v>4896</v>
      </c>
      <c r="J53" s="5" t="s">
        <v>598</v>
      </c>
      <c r="K53" s="6">
        <v>45769</v>
      </c>
      <c r="L53" s="6">
        <v>46022</v>
      </c>
      <c r="M53" s="5" t="str">
        <f>[1]Звіт!C51</f>
        <v>Виконано</v>
      </c>
    </row>
    <row r="54" spans="1:13" s="2" customFormat="1" ht="51.75" x14ac:dyDescent="0.25">
      <c r="A54" s="3">
        <v>50</v>
      </c>
      <c r="B54" s="4" t="str">
        <f>HYPERLINK("https://my.zakupivli.pro/remote/dispatcher/state_purchase_view/60329990", "UA-2025-06-25-002481-a")</f>
        <v>UA-2025-06-25-002481-a</v>
      </c>
      <c r="C54" s="5" t="s">
        <v>862</v>
      </c>
      <c r="D54" s="5" t="s">
        <v>306</v>
      </c>
      <c r="E54" s="5" t="s">
        <v>506</v>
      </c>
      <c r="F54" s="5" t="s">
        <v>466</v>
      </c>
      <c r="G54" s="5" t="s">
        <v>206</v>
      </c>
      <c r="H54" s="5" t="s">
        <v>74</v>
      </c>
      <c r="I54" s="3">
        <v>26</v>
      </c>
      <c r="J54" s="5" t="s">
        <v>598</v>
      </c>
      <c r="K54" s="6">
        <v>45833</v>
      </c>
      <c r="L54" s="6">
        <v>46022</v>
      </c>
      <c r="M54" s="5" t="str">
        <f>[1]Звіт!C52</f>
        <v>Виконано</v>
      </c>
    </row>
    <row r="55" spans="1:13" s="2" customFormat="1" ht="26.25" x14ac:dyDescent="0.25">
      <c r="A55" s="3">
        <v>51</v>
      </c>
      <c r="B55" s="4" t="str">
        <f>HYPERLINK("https://my.zakupivli.pro/remote/dispatcher/state_purchase_view/60329540", "UA-2025-06-25-002324-a")</f>
        <v>UA-2025-06-25-002324-a</v>
      </c>
      <c r="C55" s="5" t="s">
        <v>747</v>
      </c>
      <c r="D55" s="5" t="s">
        <v>360</v>
      </c>
      <c r="E55" s="5" t="s">
        <v>506</v>
      </c>
      <c r="F55" s="5" t="s">
        <v>466</v>
      </c>
      <c r="G55" s="5" t="s">
        <v>206</v>
      </c>
      <c r="H55" s="5" t="s">
        <v>74</v>
      </c>
      <c r="I55" s="3">
        <v>367</v>
      </c>
      <c r="J55" s="5" t="s">
        <v>598</v>
      </c>
      <c r="K55" s="6">
        <v>45833</v>
      </c>
      <c r="L55" s="6">
        <v>46022</v>
      </c>
      <c r="M55" s="5" t="str">
        <f>[1]Звіт!C53</f>
        <v>Виконано</v>
      </c>
    </row>
    <row r="56" spans="1:13" s="2" customFormat="1" ht="26.25" x14ac:dyDescent="0.25">
      <c r="A56" s="3">
        <v>52</v>
      </c>
      <c r="B56" s="4" t="str">
        <f>HYPERLINK("https://my.zakupivli.pro/remote/dispatcher/state_purchase_view/60330873", "UA-2025-06-25-002836-a")</f>
        <v>UA-2025-06-25-002836-a</v>
      </c>
      <c r="C56" s="5" t="s">
        <v>781</v>
      </c>
      <c r="D56" s="5" t="s">
        <v>354</v>
      </c>
      <c r="E56" s="5" t="s">
        <v>506</v>
      </c>
      <c r="F56" s="5" t="s">
        <v>466</v>
      </c>
      <c r="G56" s="5" t="s">
        <v>206</v>
      </c>
      <c r="H56" s="5" t="s">
        <v>74</v>
      </c>
      <c r="I56" s="3">
        <v>155</v>
      </c>
      <c r="J56" s="5" t="s">
        <v>598</v>
      </c>
      <c r="K56" s="6">
        <v>45833</v>
      </c>
      <c r="L56" s="6">
        <v>46022</v>
      </c>
      <c r="M56" s="5" t="str">
        <f>[1]Звіт!C54</f>
        <v>Виконано</v>
      </c>
    </row>
    <row r="57" spans="1:13" s="2" customFormat="1" ht="26.25" x14ac:dyDescent="0.25">
      <c r="A57" s="3">
        <v>53</v>
      </c>
      <c r="B57" s="4" t="str">
        <f>HYPERLINK("https://my.zakupivli.pro/remote/dispatcher/state_purchase_view/60340943", "UA-2025-06-25-007430-a")</f>
        <v>UA-2025-06-25-007430-a</v>
      </c>
      <c r="C57" s="5" t="s">
        <v>741</v>
      </c>
      <c r="D57" s="5" t="s">
        <v>362</v>
      </c>
      <c r="E57" s="5" t="s">
        <v>506</v>
      </c>
      <c r="F57" s="5" t="s">
        <v>514</v>
      </c>
      <c r="G57" s="5" t="s">
        <v>173</v>
      </c>
      <c r="H57" s="5" t="s">
        <v>78</v>
      </c>
      <c r="I57" s="3">
        <v>1480</v>
      </c>
      <c r="J57" s="5" t="s">
        <v>598</v>
      </c>
      <c r="K57" s="6">
        <v>45833</v>
      </c>
      <c r="L57" s="6">
        <v>46022</v>
      </c>
      <c r="M57" s="5" t="str">
        <f>[1]Звіт!C55</f>
        <v>Виконано</v>
      </c>
    </row>
    <row r="58" spans="1:13" s="2" customFormat="1" ht="39" x14ac:dyDescent="0.25">
      <c r="A58" s="3">
        <v>54</v>
      </c>
      <c r="B58" s="4" t="str">
        <f>HYPERLINK("https://my.zakupivli.pro/remote/dispatcher/state_purchase_view/60341472", "UA-2025-06-25-007643-a")</f>
        <v>UA-2025-06-25-007643-a</v>
      </c>
      <c r="C58" s="5" t="s">
        <v>805</v>
      </c>
      <c r="D58" s="5" t="s">
        <v>341</v>
      </c>
      <c r="E58" s="5" t="s">
        <v>506</v>
      </c>
      <c r="F58" s="5" t="s">
        <v>514</v>
      </c>
      <c r="G58" s="5" t="s">
        <v>173</v>
      </c>
      <c r="H58" s="5" t="s">
        <v>78</v>
      </c>
      <c r="I58" s="3">
        <v>2600</v>
      </c>
      <c r="J58" s="5" t="s">
        <v>598</v>
      </c>
      <c r="K58" s="6">
        <v>45833</v>
      </c>
      <c r="L58" s="6">
        <v>46022</v>
      </c>
      <c r="M58" s="5" t="str">
        <f>[1]Звіт!C56</f>
        <v>Виконано</v>
      </c>
    </row>
    <row r="59" spans="1:13" s="2" customFormat="1" ht="26.25" x14ac:dyDescent="0.25">
      <c r="A59" s="3">
        <v>55</v>
      </c>
      <c r="B59" s="4" t="str">
        <f>HYPERLINK("https://my.zakupivli.pro/remote/dispatcher/state_purchase_view/56922156", "UA-2025-01-27-004101-a")</f>
        <v>UA-2025-01-27-004101-a</v>
      </c>
      <c r="C59" s="5" t="s">
        <v>557</v>
      </c>
      <c r="D59" s="5" t="s">
        <v>376</v>
      </c>
      <c r="E59" s="5" t="s">
        <v>506</v>
      </c>
      <c r="F59" s="5" t="s">
        <v>516</v>
      </c>
      <c r="G59" s="5" t="s">
        <v>190</v>
      </c>
      <c r="H59" s="5" t="s">
        <v>237</v>
      </c>
      <c r="I59" s="3">
        <v>25000</v>
      </c>
      <c r="J59" s="5" t="s">
        <v>598</v>
      </c>
      <c r="K59" s="6">
        <v>45684</v>
      </c>
      <c r="L59" s="6">
        <v>46022</v>
      </c>
      <c r="M59" s="5" t="str">
        <f>[1]Звіт!C57</f>
        <v>Виконано</v>
      </c>
    </row>
    <row r="60" spans="1:13" s="2" customFormat="1" ht="64.5" x14ac:dyDescent="0.25">
      <c r="A60" s="3">
        <v>56</v>
      </c>
      <c r="B60" s="4" t="str">
        <f>HYPERLINK("https://my.zakupivli.pro/remote/dispatcher/state_purchase_view/56572186", "UA-2025-01-15-012029-a")</f>
        <v>UA-2025-01-15-012029-a</v>
      </c>
      <c r="C60" s="5" t="s">
        <v>628</v>
      </c>
      <c r="D60" s="5" t="s">
        <v>442</v>
      </c>
      <c r="E60" s="5" t="s">
        <v>506</v>
      </c>
      <c r="F60" s="5" t="s">
        <v>611</v>
      </c>
      <c r="G60" s="5" t="s">
        <v>248</v>
      </c>
      <c r="H60" s="5" t="s">
        <v>100</v>
      </c>
      <c r="I60" s="3">
        <v>11000</v>
      </c>
      <c r="J60" s="5" t="s">
        <v>705</v>
      </c>
      <c r="K60" s="6">
        <v>45672</v>
      </c>
      <c r="L60" s="6">
        <v>46022</v>
      </c>
      <c r="M60" s="5" t="str">
        <f>[1]Звіт!C58</f>
        <v>Виконано</v>
      </c>
    </row>
    <row r="61" spans="1:13" s="2" customFormat="1" ht="26.25" x14ac:dyDescent="0.25">
      <c r="A61" s="3">
        <v>57</v>
      </c>
      <c r="B61" s="4" t="str">
        <f>HYPERLINK("https://my.zakupivli.pro/remote/dispatcher/state_purchase_view/56605823", "UA-2025-01-16-008423-a")</f>
        <v>UA-2025-01-16-008423-a</v>
      </c>
      <c r="C61" s="5" t="s">
        <v>477</v>
      </c>
      <c r="D61" s="5" t="s">
        <v>322</v>
      </c>
      <c r="E61" s="5" t="s">
        <v>506</v>
      </c>
      <c r="F61" s="5" t="s">
        <v>677</v>
      </c>
      <c r="G61" s="5" t="s">
        <v>171</v>
      </c>
      <c r="H61" s="5" t="s">
        <v>119</v>
      </c>
      <c r="I61" s="3">
        <v>108</v>
      </c>
      <c r="J61" s="5" t="s">
        <v>705</v>
      </c>
      <c r="K61" s="6">
        <v>45673</v>
      </c>
      <c r="L61" s="6">
        <v>46022</v>
      </c>
      <c r="M61" s="5" t="str">
        <f>[1]Звіт!C59</f>
        <v>Виконано</v>
      </c>
    </row>
    <row r="62" spans="1:13" s="2" customFormat="1" ht="39" x14ac:dyDescent="0.25">
      <c r="A62" s="3">
        <v>58</v>
      </c>
      <c r="B62" s="4" t="str">
        <f>HYPERLINK("https://my.zakupivli.pro/remote/dispatcher/state_purchase_view/57785788", "UA-2025-02-28-003866-a")</f>
        <v>UA-2025-02-28-003866-a</v>
      </c>
      <c r="C62" s="5" t="s">
        <v>640</v>
      </c>
      <c r="D62" s="5" t="s">
        <v>423</v>
      </c>
      <c r="E62" s="5" t="s">
        <v>506</v>
      </c>
      <c r="F62" s="5" t="s">
        <v>692</v>
      </c>
      <c r="G62" s="5" t="s">
        <v>274</v>
      </c>
      <c r="H62" s="5" t="s">
        <v>132</v>
      </c>
      <c r="I62" s="3">
        <v>6810</v>
      </c>
      <c r="J62" s="5" t="s">
        <v>598</v>
      </c>
      <c r="K62" s="6">
        <v>45716</v>
      </c>
      <c r="L62" s="6">
        <v>46022</v>
      </c>
      <c r="M62" s="5" t="str">
        <f>[1]Звіт!C60</f>
        <v>Виконано</v>
      </c>
    </row>
    <row r="63" spans="1:13" s="2" customFormat="1" ht="51.75" x14ac:dyDescent="0.25">
      <c r="A63" s="3">
        <v>59</v>
      </c>
      <c r="B63" s="4" t="str">
        <f>HYPERLINK("https://my.zakupivli.pro/remote/dispatcher/state_purchase_view/57048894", "UA-2025-01-30-002103-a")</f>
        <v>UA-2025-01-30-002103-a</v>
      </c>
      <c r="C63" s="5" t="s">
        <v>646</v>
      </c>
      <c r="D63" s="5" t="s">
        <v>427</v>
      </c>
      <c r="E63" s="5" t="s">
        <v>506</v>
      </c>
      <c r="F63" s="5" t="s">
        <v>699</v>
      </c>
      <c r="G63" s="5" t="s">
        <v>152</v>
      </c>
      <c r="H63" s="5" t="s">
        <v>68</v>
      </c>
      <c r="I63" s="3">
        <v>5810</v>
      </c>
      <c r="J63" s="5" t="s">
        <v>598</v>
      </c>
      <c r="K63" s="6">
        <v>45687</v>
      </c>
      <c r="L63" s="6">
        <v>46022</v>
      </c>
      <c r="M63" s="5" t="str">
        <f>[1]Звіт!C61</f>
        <v>Виконано</v>
      </c>
    </row>
    <row r="64" spans="1:13" s="2" customFormat="1" ht="26.25" x14ac:dyDescent="0.25">
      <c r="A64" s="3">
        <v>60</v>
      </c>
      <c r="B64" s="4" t="str">
        <f>HYPERLINK("https://my.zakupivli.pro/remote/dispatcher/state_purchase_view/57026260", "UA-2025-01-29-010970-a")</f>
        <v>UA-2025-01-29-010970-a</v>
      </c>
      <c r="C64" s="5" t="s">
        <v>354</v>
      </c>
      <c r="D64" s="5" t="s">
        <v>354</v>
      </c>
      <c r="E64" s="5" t="s">
        <v>506</v>
      </c>
      <c r="F64" s="5" t="s">
        <v>505</v>
      </c>
      <c r="G64" s="5" t="s">
        <v>143</v>
      </c>
      <c r="H64" s="5" t="s">
        <v>136</v>
      </c>
      <c r="I64" s="7">
        <v>723.42</v>
      </c>
      <c r="J64" s="5" t="s">
        <v>705</v>
      </c>
      <c r="K64" s="6">
        <v>45686</v>
      </c>
      <c r="L64" s="6">
        <v>46022</v>
      </c>
      <c r="M64" s="5" t="str">
        <f>[1]Звіт!C62</f>
        <v>Виконано</v>
      </c>
    </row>
    <row r="65" spans="1:13" s="2" customFormat="1" ht="51.75" x14ac:dyDescent="0.25">
      <c r="A65" s="3">
        <v>61</v>
      </c>
      <c r="B65" s="4" t="str">
        <f>HYPERLINK("https://my.zakupivli.pro/remote/dispatcher/state_purchase_view/63516282", "UA-2025-11-17-001627-a")</f>
        <v>UA-2025-11-17-001627-a</v>
      </c>
      <c r="C65" s="5" t="s">
        <v>302</v>
      </c>
      <c r="D65" s="5" t="s">
        <v>301</v>
      </c>
      <c r="E65" s="5" t="s">
        <v>506</v>
      </c>
      <c r="F65" s="5" t="s">
        <v>512</v>
      </c>
      <c r="G65" s="5" t="s">
        <v>240</v>
      </c>
      <c r="H65" s="5" t="s">
        <v>145</v>
      </c>
      <c r="I65" s="3">
        <v>30200</v>
      </c>
      <c r="J65" s="5" t="s">
        <v>598</v>
      </c>
      <c r="K65" s="6">
        <v>45978</v>
      </c>
      <c r="L65" s="6">
        <v>46022</v>
      </c>
      <c r="M65" s="5" t="str">
        <f>[1]Звіт!C63</f>
        <v>Виконано</v>
      </c>
    </row>
    <row r="66" spans="1:13" s="2" customFormat="1" ht="26.25" x14ac:dyDescent="0.25">
      <c r="A66" s="3">
        <v>62</v>
      </c>
      <c r="B66" s="4" t="str">
        <f>HYPERLINK("https://my.zakupivli.pro/remote/dispatcher/state_purchase_view/60740612", "UA-2025-07-16-002418-a")</f>
        <v>UA-2025-07-16-002418-a</v>
      </c>
      <c r="C66" s="5" t="s">
        <v>728</v>
      </c>
      <c r="D66" s="5" t="s">
        <v>303</v>
      </c>
      <c r="E66" s="5" t="s">
        <v>506</v>
      </c>
      <c r="F66" s="5" t="s">
        <v>512</v>
      </c>
      <c r="G66" s="5" t="s">
        <v>240</v>
      </c>
      <c r="H66" s="5" t="s">
        <v>99</v>
      </c>
      <c r="I66" s="3">
        <v>9600</v>
      </c>
      <c r="J66" s="5" t="s">
        <v>598</v>
      </c>
      <c r="K66" s="6">
        <v>45854</v>
      </c>
      <c r="L66" s="6">
        <v>46022</v>
      </c>
      <c r="M66" s="5" t="str">
        <f>[1]Звіт!C64</f>
        <v>Виконано</v>
      </c>
    </row>
    <row r="67" spans="1:13" s="2" customFormat="1" ht="39" x14ac:dyDescent="0.25">
      <c r="A67" s="3">
        <v>63</v>
      </c>
      <c r="B67" s="4" t="str">
        <f>HYPERLINK("https://my.zakupivli.pro/remote/dispatcher/state_purchase_view/60409680", "UA-2025-06-30-000712-a")</f>
        <v>UA-2025-06-30-000712-a</v>
      </c>
      <c r="C67" s="5" t="s">
        <v>819</v>
      </c>
      <c r="D67" s="5" t="s">
        <v>340</v>
      </c>
      <c r="E67" s="5" t="s">
        <v>506</v>
      </c>
      <c r="F67" s="5" t="s">
        <v>682</v>
      </c>
      <c r="G67" s="5" t="s">
        <v>242</v>
      </c>
      <c r="H67" s="5" t="s">
        <v>196</v>
      </c>
      <c r="I67" s="7">
        <v>46.8</v>
      </c>
      <c r="J67" s="5" t="s">
        <v>705</v>
      </c>
      <c r="K67" s="6">
        <v>45838</v>
      </c>
      <c r="L67" s="6">
        <v>46022</v>
      </c>
      <c r="M67" s="5" t="str">
        <f>[1]Звіт!C65</f>
        <v>Виконано</v>
      </c>
    </row>
    <row r="68" spans="1:13" s="2" customFormat="1" ht="39" x14ac:dyDescent="0.25">
      <c r="A68" s="3">
        <v>64</v>
      </c>
      <c r="B68" s="4" t="str">
        <f>HYPERLINK("https://my.zakupivli.pro/remote/dispatcher/state_purchase_view/60872350", "UA-2025-07-23-003660-a")</f>
        <v>UA-2025-07-23-003660-a</v>
      </c>
      <c r="C68" s="5" t="s">
        <v>534</v>
      </c>
      <c r="D68" s="5" t="s">
        <v>85</v>
      </c>
      <c r="E68" s="5" t="s">
        <v>506</v>
      </c>
      <c r="F68" s="5" t="s">
        <v>591</v>
      </c>
      <c r="G68" s="5" t="s">
        <v>160</v>
      </c>
      <c r="H68" s="5" t="s">
        <v>109</v>
      </c>
      <c r="I68" s="3">
        <v>3792</v>
      </c>
      <c r="J68" s="5" t="s">
        <v>598</v>
      </c>
      <c r="K68" s="6">
        <v>45861</v>
      </c>
      <c r="L68" s="6">
        <v>46022</v>
      </c>
      <c r="M68" s="5" t="str">
        <f>[1]Звіт!C66</f>
        <v>Виконано</v>
      </c>
    </row>
    <row r="69" spans="1:13" s="2" customFormat="1" ht="26.25" x14ac:dyDescent="0.25">
      <c r="A69" s="3">
        <v>65</v>
      </c>
      <c r="B69" s="4" t="str">
        <f>HYPERLINK("https://my.zakupivli.pro/remote/dispatcher/state_purchase_view/58128002", "UA-2025-03-17-004253-a")</f>
        <v>UA-2025-03-17-004253-a</v>
      </c>
      <c r="C69" s="5" t="s">
        <v>825</v>
      </c>
      <c r="D69" s="5" t="s">
        <v>346</v>
      </c>
      <c r="E69" s="5" t="s">
        <v>506</v>
      </c>
      <c r="F69" s="5" t="s">
        <v>525</v>
      </c>
      <c r="G69" s="5" t="s">
        <v>205</v>
      </c>
      <c r="H69" s="5" t="s">
        <v>395</v>
      </c>
      <c r="I69" s="3">
        <v>3081</v>
      </c>
      <c r="J69" s="5" t="s">
        <v>598</v>
      </c>
      <c r="K69" s="6">
        <v>45733</v>
      </c>
      <c r="L69" s="6">
        <v>46022</v>
      </c>
      <c r="M69" s="5" t="str">
        <f>[1]Звіт!C67</f>
        <v>Виконано</v>
      </c>
    </row>
    <row r="70" spans="1:13" s="2" customFormat="1" ht="39" x14ac:dyDescent="0.25">
      <c r="A70" s="3">
        <v>66</v>
      </c>
      <c r="B70" s="4" t="str">
        <f>HYPERLINK("https://my.zakupivli.pro/remote/dispatcher/state_purchase_view/58129619", "UA-2025-03-17-004982-a")</f>
        <v>UA-2025-03-17-004982-a</v>
      </c>
      <c r="C70" s="5" t="s">
        <v>809</v>
      </c>
      <c r="D70" s="5" t="s">
        <v>341</v>
      </c>
      <c r="E70" s="5" t="s">
        <v>506</v>
      </c>
      <c r="F70" s="5" t="s">
        <v>514</v>
      </c>
      <c r="G70" s="5" t="s">
        <v>173</v>
      </c>
      <c r="H70" s="5" t="s">
        <v>397</v>
      </c>
      <c r="I70" s="3">
        <v>170</v>
      </c>
      <c r="J70" s="5" t="s">
        <v>598</v>
      </c>
      <c r="K70" s="6">
        <v>45733</v>
      </c>
      <c r="L70" s="6">
        <v>46022</v>
      </c>
      <c r="M70" s="5" t="str">
        <f>[1]Звіт!C68</f>
        <v>Виконано</v>
      </c>
    </row>
    <row r="71" spans="1:13" s="2" customFormat="1" ht="51.75" x14ac:dyDescent="0.25">
      <c r="A71" s="3">
        <v>67</v>
      </c>
      <c r="B71" s="4" t="str">
        <f>HYPERLINK("https://my.zakupivli.pro/remote/dispatcher/state_purchase_view/58292795", "UA-2025-03-24-005681-a")</f>
        <v>UA-2025-03-24-005681-a</v>
      </c>
      <c r="C71" s="5" t="s">
        <v>642</v>
      </c>
      <c r="D71" s="5" t="s">
        <v>409</v>
      </c>
      <c r="E71" s="5" t="s">
        <v>506</v>
      </c>
      <c r="F71" s="5" t="s">
        <v>691</v>
      </c>
      <c r="G71" s="5" t="s">
        <v>366</v>
      </c>
      <c r="H71" s="5" t="s">
        <v>413</v>
      </c>
      <c r="I71" s="3">
        <v>2600</v>
      </c>
      <c r="J71" s="5" t="s">
        <v>598</v>
      </c>
      <c r="K71" s="6">
        <v>45740</v>
      </c>
      <c r="L71" s="6">
        <v>46022</v>
      </c>
      <c r="M71" s="5" t="str">
        <f>[1]Звіт!C69</f>
        <v>Виконано</v>
      </c>
    </row>
    <row r="72" spans="1:13" s="2" customFormat="1" ht="26.25" x14ac:dyDescent="0.25">
      <c r="A72" s="3">
        <v>68</v>
      </c>
      <c r="B72" s="4" t="str">
        <f>HYPERLINK("https://my.zakupivli.pro/remote/dispatcher/state_purchase_view/57806643", "UA-2025-03-03-001435-a")</f>
        <v>UA-2025-03-03-001435-a</v>
      </c>
      <c r="C72" s="5" t="s">
        <v>568</v>
      </c>
      <c r="D72" s="5" t="s">
        <v>82</v>
      </c>
      <c r="E72" s="5" t="s">
        <v>508</v>
      </c>
      <c r="F72" s="5" t="s">
        <v>465</v>
      </c>
      <c r="G72" s="5" t="s">
        <v>236</v>
      </c>
      <c r="H72" s="5" t="s">
        <v>385</v>
      </c>
      <c r="I72" s="7">
        <v>98467.199999999997</v>
      </c>
      <c r="J72" s="5" t="s">
        <v>705</v>
      </c>
      <c r="K72" s="6">
        <v>45728</v>
      </c>
      <c r="L72" s="6">
        <v>46022</v>
      </c>
      <c r="M72" s="5" t="str">
        <f>[1]Звіт!C70</f>
        <v>Виконано</v>
      </c>
    </row>
    <row r="73" spans="1:13" s="2" customFormat="1" ht="26.25" x14ac:dyDescent="0.25">
      <c r="A73" s="3">
        <v>69</v>
      </c>
      <c r="B73" s="4" t="str">
        <f>HYPERLINK("https://my.zakupivli.pro/remote/dispatcher/state_purchase_view/59442872", "UA-2025-05-15-004238-a")</f>
        <v>UA-2025-05-15-004238-a</v>
      </c>
      <c r="C73" s="5" t="s">
        <v>742</v>
      </c>
      <c r="D73" s="5" t="s">
        <v>362</v>
      </c>
      <c r="E73" s="5" t="s">
        <v>506</v>
      </c>
      <c r="F73" s="5" t="s">
        <v>525</v>
      </c>
      <c r="G73" s="5" t="s">
        <v>205</v>
      </c>
      <c r="H73" s="5" t="s">
        <v>47</v>
      </c>
      <c r="I73" s="3">
        <v>185</v>
      </c>
      <c r="J73" s="5" t="s">
        <v>598</v>
      </c>
      <c r="K73" s="6">
        <v>45792</v>
      </c>
      <c r="L73" s="6">
        <v>46022</v>
      </c>
      <c r="M73" s="5" t="str">
        <f>[1]Звіт!C71</f>
        <v>Виконано</v>
      </c>
    </row>
    <row r="74" spans="1:13" s="2" customFormat="1" ht="51.75" x14ac:dyDescent="0.25">
      <c r="A74" s="3">
        <v>70</v>
      </c>
      <c r="B74" s="4" t="str">
        <f>HYPERLINK("https://my.zakupivli.pro/remote/dispatcher/state_purchase_view/59443815", "UA-2025-05-15-004692-a")</f>
        <v>UA-2025-05-15-004692-a</v>
      </c>
      <c r="C74" s="5" t="s">
        <v>745</v>
      </c>
      <c r="D74" s="5" t="s">
        <v>306</v>
      </c>
      <c r="E74" s="5" t="s">
        <v>506</v>
      </c>
      <c r="F74" s="5" t="s">
        <v>525</v>
      </c>
      <c r="G74" s="5" t="s">
        <v>205</v>
      </c>
      <c r="H74" s="5" t="s">
        <v>47</v>
      </c>
      <c r="I74" s="3">
        <v>108</v>
      </c>
      <c r="J74" s="5" t="s">
        <v>598</v>
      </c>
      <c r="K74" s="6">
        <v>45792</v>
      </c>
      <c r="L74" s="6">
        <v>46022</v>
      </c>
      <c r="M74" s="5" t="str">
        <f>[1]Звіт!C72</f>
        <v>Виконано</v>
      </c>
    </row>
    <row r="75" spans="1:13" s="2" customFormat="1" ht="77.25" x14ac:dyDescent="0.25">
      <c r="A75" s="3">
        <v>71</v>
      </c>
      <c r="B75" s="4" t="str">
        <f>HYPERLINK("https://my.zakupivli.pro/remote/dispatcher/state_purchase_view/62287515", "UA-2025-09-29-008282-a")</f>
        <v>UA-2025-09-29-008282-a</v>
      </c>
      <c r="C75" s="5" t="s">
        <v>629</v>
      </c>
      <c r="D75" s="5" t="s">
        <v>434</v>
      </c>
      <c r="E75" s="5" t="s">
        <v>506</v>
      </c>
      <c r="F75" s="5" t="s">
        <v>522</v>
      </c>
      <c r="G75" s="5" t="s">
        <v>7</v>
      </c>
      <c r="H75" s="5" t="s">
        <v>123</v>
      </c>
      <c r="I75" s="7">
        <v>4050.11</v>
      </c>
      <c r="J75" s="5" t="s">
        <v>598</v>
      </c>
      <c r="K75" s="6">
        <v>45929</v>
      </c>
      <c r="L75" s="6">
        <v>46022</v>
      </c>
      <c r="M75" s="5" t="str">
        <f>[1]Звіт!C73</f>
        <v>Виконано</v>
      </c>
    </row>
    <row r="76" spans="1:13" s="2" customFormat="1" ht="51.75" x14ac:dyDescent="0.25">
      <c r="A76" s="3">
        <v>72</v>
      </c>
      <c r="B76" s="4" t="str">
        <f>HYPERLINK("https://my.zakupivli.pro/remote/dispatcher/state_purchase_view/62300246", "UA-2025-09-30-001121-a")</f>
        <v>UA-2025-09-30-001121-a</v>
      </c>
      <c r="C76" s="5" t="s">
        <v>785</v>
      </c>
      <c r="D76" s="5" t="s">
        <v>306</v>
      </c>
      <c r="E76" s="5" t="s">
        <v>506</v>
      </c>
      <c r="F76" s="5" t="s">
        <v>514</v>
      </c>
      <c r="G76" s="5" t="s">
        <v>173</v>
      </c>
      <c r="H76" s="5" t="s">
        <v>125</v>
      </c>
      <c r="I76" s="3">
        <v>390</v>
      </c>
      <c r="J76" s="5" t="s">
        <v>598</v>
      </c>
      <c r="K76" s="6">
        <v>45930</v>
      </c>
      <c r="L76" s="6">
        <v>46022</v>
      </c>
      <c r="M76" s="5" t="str">
        <f>[1]Звіт!C74</f>
        <v>Виконано</v>
      </c>
    </row>
    <row r="77" spans="1:13" s="2" customFormat="1" ht="102.75" x14ac:dyDescent="0.25">
      <c r="A77" s="3">
        <v>73</v>
      </c>
      <c r="B77" s="4" t="str">
        <f>HYPERLINK("https://my.zakupivli.pro/remote/dispatcher/state_purchase_view/62299797", "UA-2025-09-30-000919-a")</f>
        <v>UA-2025-09-30-000919-a</v>
      </c>
      <c r="C77" s="5" t="s">
        <v>707</v>
      </c>
      <c r="D77" s="5" t="s">
        <v>377</v>
      </c>
      <c r="E77" s="5" t="s">
        <v>506</v>
      </c>
      <c r="F77" s="5" t="s">
        <v>572</v>
      </c>
      <c r="G77" s="5" t="s">
        <v>291</v>
      </c>
      <c r="H77" s="5" t="s">
        <v>384</v>
      </c>
      <c r="I77" s="3">
        <v>26970</v>
      </c>
      <c r="J77" s="5" t="s">
        <v>598</v>
      </c>
      <c r="K77" s="6">
        <v>45930</v>
      </c>
      <c r="L77" s="6">
        <v>46022</v>
      </c>
      <c r="M77" s="5" t="str">
        <f>[1]Звіт!C75</f>
        <v>Виконано</v>
      </c>
    </row>
    <row r="78" spans="1:13" s="2" customFormat="1" ht="26.25" x14ac:dyDescent="0.25">
      <c r="A78" s="3">
        <v>74</v>
      </c>
      <c r="B78" s="4" t="str">
        <f>HYPERLINK("https://my.zakupivli.pro/remote/dispatcher/state_purchase_view/62300524", "UA-2025-09-30-001219-a")</f>
        <v>UA-2025-09-30-001219-a</v>
      </c>
      <c r="C78" s="5" t="s">
        <v>761</v>
      </c>
      <c r="D78" s="5" t="s">
        <v>360</v>
      </c>
      <c r="E78" s="5" t="s">
        <v>506</v>
      </c>
      <c r="F78" s="5" t="s">
        <v>514</v>
      </c>
      <c r="G78" s="5" t="s">
        <v>173</v>
      </c>
      <c r="H78" s="5" t="s">
        <v>125</v>
      </c>
      <c r="I78" s="3">
        <v>6100</v>
      </c>
      <c r="J78" s="5" t="s">
        <v>598</v>
      </c>
      <c r="K78" s="6">
        <v>45930</v>
      </c>
      <c r="L78" s="6">
        <v>46022</v>
      </c>
      <c r="M78" s="5" t="str">
        <f>[1]Звіт!C76</f>
        <v>Виконано</v>
      </c>
    </row>
    <row r="79" spans="1:13" s="2" customFormat="1" ht="26.25" x14ac:dyDescent="0.25">
      <c r="A79" s="3">
        <v>75</v>
      </c>
      <c r="B79" s="4" t="str">
        <f>HYPERLINK("https://my.zakupivli.pro/remote/dispatcher/state_purchase_view/62648673", "UA-2025-10-14-010525-a")</f>
        <v>UA-2025-10-14-010525-a</v>
      </c>
      <c r="C79" s="5" t="s">
        <v>792</v>
      </c>
      <c r="D79" s="5" t="s">
        <v>355</v>
      </c>
      <c r="E79" s="5" t="s">
        <v>506</v>
      </c>
      <c r="F79" s="5" t="s">
        <v>466</v>
      </c>
      <c r="G79" s="5" t="s">
        <v>206</v>
      </c>
      <c r="H79" s="5" t="s">
        <v>137</v>
      </c>
      <c r="I79" s="3">
        <v>165</v>
      </c>
      <c r="J79" s="5" t="s">
        <v>598</v>
      </c>
      <c r="K79" s="6">
        <v>45944</v>
      </c>
      <c r="L79" s="6">
        <v>46022</v>
      </c>
      <c r="M79" s="5" t="str">
        <f>[1]Звіт!C77</f>
        <v>Виконано</v>
      </c>
    </row>
    <row r="80" spans="1:13" s="2" customFormat="1" ht="39" x14ac:dyDescent="0.25">
      <c r="A80" s="3">
        <v>76</v>
      </c>
      <c r="B80" s="4" t="str">
        <f>HYPERLINK("https://my.zakupivli.pro/remote/dispatcher/state_purchase_view/61228385", "UA-2025-08-12-002021-a")</f>
        <v>UA-2025-08-12-002021-a</v>
      </c>
      <c r="C80" s="5" t="s">
        <v>548</v>
      </c>
      <c r="D80" s="5" t="s">
        <v>244</v>
      </c>
      <c r="E80" s="5" t="s">
        <v>506</v>
      </c>
      <c r="F80" s="5" t="s">
        <v>576</v>
      </c>
      <c r="G80" s="5" t="s">
        <v>250</v>
      </c>
      <c r="H80" s="5" t="s">
        <v>41</v>
      </c>
      <c r="I80" s="3">
        <v>1137</v>
      </c>
      <c r="J80" s="5" t="s">
        <v>598</v>
      </c>
      <c r="K80" s="6">
        <v>45881</v>
      </c>
      <c r="L80" s="6">
        <v>46022</v>
      </c>
      <c r="M80" s="5" t="str">
        <f>[1]Звіт!C78</f>
        <v>Виконано</v>
      </c>
    </row>
    <row r="81" spans="1:13" s="2" customFormat="1" ht="26.25" x14ac:dyDescent="0.25">
      <c r="A81" s="3">
        <v>77</v>
      </c>
      <c r="B81" s="4" t="str">
        <f>HYPERLINK("https://my.zakupivli.pro/remote/dispatcher/state_purchase_view/61226386", "UA-2025-08-12-001123-a")</f>
        <v>UA-2025-08-12-001123-a</v>
      </c>
      <c r="C81" s="5" t="s">
        <v>806</v>
      </c>
      <c r="D81" s="5" t="s">
        <v>267</v>
      </c>
      <c r="E81" s="5" t="s">
        <v>506</v>
      </c>
      <c r="F81" s="5" t="s">
        <v>576</v>
      </c>
      <c r="G81" s="5" t="s">
        <v>250</v>
      </c>
      <c r="H81" s="5" t="s">
        <v>42</v>
      </c>
      <c r="I81" s="3">
        <v>1020</v>
      </c>
      <c r="J81" s="5" t="s">
        <v>598</v>
      </c>
      <c r="K81" s="6">
        <v>45881</v>
      </c>
      <c r="L81" s="6">
        <v>46022</v>
      </c>
      <c r="M81" s="5" t="str">
        <f>[1]Звіт!C79</f>
        <v>Виконано</v>
      </c>
    </row>
    <row r="82" spans="1:13" s="2" customFormat="1" ht="26.25" x14ac:dyDescent="0.25">
      <c r="A82" s="3">
        <v>78</v>
      </c>
      <c r="B82" s="4" t="str">
        <f>HYPERLINK("https://my.zakupivli.pro/remote/dispatcher/state_purchase_view/61213722", "UA-2025-08-11-007418-a")</f>
        <v>UA-2025-08-11-007418-a</v>
      </c>
      <c r="C82" s="5" t="s">
        <v>778</v>
      </c>
      <c r="D82" s="5" t="s">
        <v>267</v>
      </c>
      <c r="E82" s="5" t="s">
        <v>506</v>
      </c>
      <c r="F82" s="5" t="s">
        <v>722</v>
      </c>
      <c r="G82" s="5" t="s">
        <v>218</v>
      </c>
      <c r="H82" s="5" t="s">
        <v>37</v>
      </c>
      <c r="I82" s="3">
        <v>6233</v>
      </c>
      <c r="J82" s="5" t="s">
        <v>598</v>
      </c>
      <c r="K82" s="6">
        <v>45880</v>
      </c>
      <c r="L82" s="6">
        <v>46022</v>
      </c>
      <c r="M82" s="5" t="str">
        <f>[1]Звіт!C80</f>
        <v>Виконано</v>
      </c>
    </row>
    <row r="83" spans="1:13" s="2" customFormat="1" ht="26.25" x14ac:dyDescent="0.25">
      <c r="A83" s="3">
        <v>79</v>
      </c>
      <c r="B83" s="4" t="str">
        <f>HYPERLINK("https://my.zakupivli.pro/remote/dispatcher/state_purchase_view/62821996", "UA-2025-10-21-004386-a")</f>
        <v>UA-2025-10-21-004386-a</v>
      </c>
      <c r="C83" s="5" t="s">
        <v>454</v>
      </c>
      <c r="D83" s="5" t="s">
        <v>217</v>
      </c>
      <c r="E83" s="5" t="s">
        <v>506</v>
      </c>
      <c r="F83" s="5" t="s">
        <v>527</v>
      </c>
      <c r="G83" s="5" t="s">
        <v>203</v>
      </c>
      <c r="H83" s="5" t="s">
        <v>139</v>
      </c>
      <c r="I83" s="3">
        <v>680</v>
      </c>
      <c r="J83" s="5" t="s">
        <v>598</v>
      </c>
      <c r="K83" s="6">
        <v>45951</v>
      </c>
      <c r="L83" s="6">
        <v>46022</v>
      </c>
      <c r="M83" s="5" t="str">
        <f>[1]Звіт!C81</f>
        <v>Виконано</v>
      </c>
    </row>
    <row r="84" spans="1:13" s="2" customFormat="1" ht="26.25" x14ac:dyDescent="0.25">
      <c r="A84" s="3">
        <v>80</v>
      </c>
      <c r="B84" s="4" t="str">
        <f>HYPERLINK("https://my.zakupivli.pro/remote/dispatcher/state_purchase_view/62822645", "UA-2025-10-21-004663-a")</f>
        <v>UA-2025-10-21-004663-a</v>
      </c>
      <c r="C84" s="5" t="s">
        <v>644</v>
      </c>
      <c r="D84" s="5" t="s">
        <v>217</v>
      </c>
      <c r="E84" s="5" t="s">
        <v>506</v>
      </c>
      <c r="F84" s="5" t="s">
        <v>516</v>
      </c>
      <c r="G84" s="5" t="s">
        <v>190</v>
      </c>
      <c r="H84" s="5" t="s">
        <v>141</v>
      </c>
      <c r="I84" s="3">
        <v>4285</v>
      </c>
      <c r="J84" s="5" t="s">
        <v>598</v>
      </c>
      <c r="K84" s="6">
        <v>45951</v>
      </c>
      <c r="L84" s="6">
        <v>46022</v>
      </c>
      <c r="M84" s="5" t="str">
        <f>[1]Звіт!C82</f>
        <v>Виконано</v>
      </c>
    </row>
    <row r="85" spans="1:13" s="2" customFormat="1" ht="26.25" x14ac:dyDescent="0.25">
      <c r="A85" s="3">
        <v>81</v>
      </c>
      <c r="B85" s="4" t="str">
        <f>HYPERLINK("https://my.zakupivli.pro/remote/dispatcher/state_purchase_view/63598194", "UA-2025-11-19-002332-a")</f>
        <v>UA-2025-11-19-002332-a</v>
      </c>
      <c r="C85" s="5" t="s">
        <v>839</v>
      </c>
      <c r="D85" s="5" t="s">
        <v>353</v>
      </c>
      <c r="E85" s="5" t="s">
        <v>506</v>
      </c>
      <c r="F85" s="5" t="s">
        <v>466</v>
      </c>
      <c r="G85" s="5" t="s">
        <v>206</v>
      </c>
      <c r="H85" s="5" t="s">
        <v>147</v>
      </c>
      <c r="I85" s="3">
        <v>3370</v>
      </c>
      <c r="J85" s="5" t="s">
        <v>598</v>
      </c>
      <c r="K85" s="6">
        <v>45980</v>
      </c>
      <c r="L85" s="6">
        <v>46022</v>
      </c>
      <c r="M85" s="5" t="str">
        <f>[1]Звіт!C83</f>
        <v>Виконано</v>
      </c>
    </row>
    <row r="86" spans="1:13" s="2" customFormat="1" ht="39" x14ac:dyDescent="0.25">
      <c r="A86" s="3">
        <v>82</v>
      </c>
      <c r="B86" s="4" t="str">
        <f>HYPERLINK("https://my.zakupivli.pro/remote/dispatcher/state_purchase_view/63949461", "UA-2025-12-01-004789-a")</f>
        <v>UA-2025-12-01-004789-a</v>
      </c>
      <c r="C86" s="5" t="s">
        <v>617</v>
      </c>
      <c r="D86" s="5" t="s">
        <v>128</v>
      </c>
      <c r="E86" s="5" t="s">
        <v>506</v>
      </c>
      <c r="F86" s="5" t="s">
        <v>528</v>
      </c>
      <c r="G86" s="5" t="s">
        <v>212</v>
      </c>
      <c r="H86" s="5" t="s">
        <v>154</v>
      </c>
      <c r="I86" s="3">
        <v>65</v>
      </c>
      <c r="J86" s="5" t="s">
        <v>598</v>
      </c>
      <c r="K86" s="6">
        <v>45992</v>
      </c>
      <c r="L86" s="6">
        <v>46022</v>
      </c>
      <c r="M86" s="5" t="str">
        <f>[1]Звіт!C84</f>
        <v>Виконано</v>
      </c>
    </row>
    <row r="87" spans="1:13" s="2" customFormat="1" ht="204.75" x14ac:dyDescent="0.25">
      <c r="A87" s="3">
        <v>83</v>
      </c>
      <c r="B87" s="4" t="str">
        <f>HYPERLINK("https://my.zakupivli.pro/remote/dispatcher/state_purchase_view/58463653", "UA-2025-04-01-005646-a")</f>
        <v>UA-2025-04-01-005646-a</v>
      </c>
      <c r="C87" s="5" t="s">
        <v>799</v>
      </c>
      <c r="D87" s="5" t="s">
        <v>262</v>
      </c>
      <c r="E87" s="5" t="s">
        <v>479</v>
      </c>
      <c r="F87" s="5" t="s">
        <v>659</v>
      </c>
      <c r="G87" s="5" t="s">
        <v>336</v>
      </c>
      <c r="H87" s="5" t="s">
        <v>35</v>
      </c>
      <c r="I87" s="7">
        <v>150310.68</v>
      </c>
      <c r="J87" s="5" t="s">
        <v>705</v>
      </c>
      <c r="K87" s="6">
        <v>45772</v>
      </c>
      <c r="L87" s="6">
        <v>46022</v>
      </c>
      <c r="M87" s="5" t="str">
        <f>[1]Звіт!C85</f>
        <v>Виконано</v>
      </c>
    </row>
    <row r="88" spans="1:13" s="2" customFormat="1" ht="192" x14ac:dyDescent="0.25">
      <c r="A88" s="3">
        <v>84</v>
      </c>
      <c r="B88" s="4" t="str">
        <f>HYPERLINK("https://my.zakupivli.pro/remote/dispatcher/state_purchase_view/57843555", "UA-2025-03-04-004364-a")</f>
        <v>UA-2025-03-04-004364-a</v>
      </c>
      <c r="C88" s="5" t="s">
        <v>587</v>
      </c>
      <c r="D88" s="5" t="s">
        <v>255</v>
      </c>
      <c r="E88" s="5" t="s">
        <v>508</v>
      </c>
      <c r="F88" s="5" t="s">
        <v>717</v>
      </c>
      <c r="G88" s="5" t="s">
        <v>207</v>
      </c>
      <c r="H88" s="5" t="s">
        <v>386</v>
      </c>
      <c r="I88" s="7">
        <v>8741</v>
      </c>
      <c r="J88" s="5" t="s">
        <v>598</v>
      </c>
      <c r="K88" s="6">
        <v>45728</v>
      </c>
      <c r="L88" s="6">
        <v>46022</v>
      </c>
      <c r="M88" s="5" t="str">
        <f>[1]Звіт!C86</f>
        <v>Виконано</v>
      </c>
    </row>
    <row r="89" spans="1:13" s="2" customFormat="1" ht="77.25" x14ac:dyDescent="0.25">
      <c r="A89" s="3">
        <v>85</v>
      </c>
      <c r="B89" s="4" t="str">
        <f>HYPERLINK("https://my.zakupivli.pro/remote/dispatcher/state_purchase_view/56892131", "UA-2025-01-24-010485-a")</f>
        <v>UA-2025-01-24-010485-a</v>
      </c>
      <c r="C89" s="5" t="s">
        <v>543</v>
      </c>
      <c r="D89" s="5" t="s">
        <v>402</v>
      </c>
      <c r="E89" s="5" t="s">
        <v>506</v>
      </c>
      <c r="F89" s="5" t="s">
        <v>715</v>
      </c>
      <c r="G89" s="5" t="s">
        <v>323</v>
      </c>
      <c r="H89" s="5" t="s">
        <v>17</v>
      </c>
      <c r="I89" s="7">
        <v>101034.59</v>
      </c>
      <c r="J89" s="5" t="s">
        <v>705</v>
      </c>
      <c r="K89" s="6">
        <v>45681</v>
      </c>
      <c r="L89" s="6">
        <v>46022</v>
      </c>
      <c r="M89" s="5" t="str">
        <f>[1]Звіт!C87</f>
        <v>Виконано</v>
      </c>
    </row>
    <row r="90" spans="1:13" s="2" customFormat="1" ht="39" x14ac:dyDescent="0.25">
      <c r="A90" s="3">
        <v>86</v>
      </c>
      <c r="B90" s="4" t="str">
        <f>HYPERLINK("https://my.zakupivli.pro/remote/dispatcher/state_purchase_view/56713097", "UA-2025-01-20-015375-a")</f>
        <v>UA-2025-01-20-015375-a</v>
      </c>
      <c r="C90" s="5" t="s">
        <v>655</v>
      </c>
      <c r="D90" s="5" t="s">
        <v>403</v>
      </c>
      <c r="E90" s="5" t="s">
        <v>506</v>
      </c>
      <c r="F90" s="5" t="s">
        <v>714</v>
      </c>
      <c r="G90" s="5" t="s">
        <v>319</v>
      </c>
      <c r="H90" s="5" t="s">
        <v>249</v>
      </c>
      <c r="I90" s="7">
        <v>304875.96000000002</v>
      </c>
      <c r="J90" s="5" t="s">
        <v>705</v>
      </c>
      <c r="K90" s="6">
        <v>45677</v>
      </c>
      <c r="L90" s="6">
        <v>46022</v>
      </c>
      <c r="M90" s="5" t="str">
        <f>[1]Звіт!C88</f>
        <v>Виконано</v>
      </c>
    </row>
    <row r="91" spans="1:13" s="2" customFormat="1" ht="39" x14ac:dyDescent="0.25">
      <c r="A91" s="3">
        <v>87</v>
      </c>
      <c r="B91" s="4" t="str">
        <f>HYPERLINK("https://my.zakupivli.pro/remote/dispatcher/state_purchase_view/63091940", "UA-2025-10-30-008669-a")</f>
        <v>UA-2025-10-30-008669-a</v>
      </c>
      <c r="C91" s="5" t="s">
        <v>662</v>
      </c>
      <c r="D91" s="5" t="s">
        <v>254</v>
      </c>
      <c r="E91" s="5" t="s">
        <v>508</v>
      </c>
      <c r="F91" s="5" t="s">
        <v>697</v>
      </c>
      <c r="G91" s="5" t="s">
        <v>349</v>
      </c>
      <c r="H91" s="5" t="s">
        <v>658</v>
      </c>
      <c r="I91" s="7">
        <v>10807</v>
      </c>
      <c r="J91" s="5" t="s">
        <v>705</v>
      </c>
      <c r="K91" s="6">
        <v>45968</v>
      </c>
      <c r="L91" s="6">
        <v>46022</v>
      </c>
      <c r="M91" s="5" t="str">
        <f>[1]Звіт!C89</f>
        <v>Виконано</v>
      </c>
    </row>
    <row r="92" spans="1:13" s="2" customFormat="1" ht="204.75" x14ac:dyDescent="0.25">
      <c r="A92" s="3">
        <v>88</v>
      </c>
      <c r="B92" s="4" t="str">
        <f>HYPERLINK("https://my.zakupivli.pro/remote/dispatcher/state_purchase_view/63091136", "UA-2025-10-30-008296-a")</f>
        <v>UA-2025-10-30-008296-a</v>
      </c>
      <c r="C92" s="5" t="s">
        <v>469</v>
      </c>
      <c r="D92" s="5" t="s">
        <v>253</v>
      </c>
      <c r="E92" s="5" t="s">
        <v>508</v>
      </c>
      <c r="F92" s="5" t="s">
        <v>676</v>
      </c>
      <c r="G92" s="5" t="s">
        <v>296</v>
      </c>
      <c r="H92" s="5" t="s">
        <v>146</v>
      </c>
      <c r="I92" s="7">
        <v>40981</v>
      </c>
      <c r="J92" s="5" t="s">
        <v>705</v>
      </c>
      <c r="K92" s="6">
        <v>45978</v>
      </c>
      <c r="L92" s="6">
        <v>46022</v>
      </c>
      <c r="M92" s="5" t="str">
        <f>[1]Звіт!C90</f>
        <v>Виконано</v>
      </c>
    </row>
    <row r="93" spans="1:13" s="2" customFormat="1" ht="39" x14ac:dyDescent="0.25">
      <c r="A93" s="3">
        <v>89</v>
      </c>
      <c r="B93" s="4" t="str">
        <f>HYPERLINK("https://my.zakupivli.pro/remote/dispatcher/state_purchase_view/60389814", "UA-2025-06-27-003088-a")</f>
        <v>UA-2025-06-27-003088-a</v>
      </c>
      <c r="C93" s="5" t="s">
        <v>625</v>
      </c>
      <c r="D93" s="5" t="s">
        <v>244</v>
      </c>
      <c r="E93" s="5" t="s">
        <v>508</v>
      </c>
      <c r="F93" s="5" t="s">
        <v>481</v>
      </c>
      <c r="G93" s="5" t="s">
        <v>199</v>
      </c>
      <c r="H93" s="5" t="s">
        <v>92</v>
      </c>
      <c r="I93" s="7">
        <v>15000</v>
      </c>
      <c r="J93" s="5" t="s">
        <v>598</v>
      </c>
      <c r="K93" s="6">
        <v>45845</v>
      </c>
      <c r="L93" s="6">
        <v>46022</v>
      </c>
      <c r="M93" s="5" t="str">
        <f>[1]Звіт!C91</f>
        <v>Виконано</v>
      </c>
    </row>
    <row r="94" spans="1:13" s="2" customFormat="1" ht="115.5" x14ac:dyDescent="0.25">
      <c r="A94" s="3">
        <v>90</v>
      </c>
      <c r="B94" s="4" t="str">
        <f>HYPERLINK("https://my.zakupivli.pro/remote/dispatcher/state_purchase_view/59054197", "UA-2025-04-29-007785-a")</f>
        <v>UA-2025-04-29-007785-a</v>
      </c>
      <c r="C94" s="5" t="s">
        <v>531</v>
      </c>
      <c r="D94" s="5" t="s">
        <v>13</v>
      </c>
      <c r="E94" s="5" t="s">
        <v>508</v>
      </c>
      <c r="F94" s="5" t="s">
        <v>2</v>
      </c>
      <c r="G94" s="5" t="s">
        <v>364</v>
      </c>
      <c r="H94" s="5" t="s">
        <v>44</v>
      </c>
      <c r="I94" s="7">
        <v>211206.6</v>
      </c>
      <c r="J94" s="5" t="s">
        <v>705</v>
      </c>
      <c r="K94" s="6">
        <v>45786</v>
      </c>
      <c r="L94" s="6">
        <v>46022</v>
      </c>
      <c r="M94" s="5" t="str">
        <f>[1]Звіт!C92</f>
        <v>Виконано</v>
      </c>
    </row>
    <row r="95" spans="1:13" s="2" customFormat="1" ht="39" x14ac:dyDescent="0.25">
      <c r="A95" s="3">
        <v>91</v>
      </c>
      <c r="B95" s="4" t="str">
        <f>HYPERLINK("https://my.zakupivli.pro/remote/dispatcher/state_purchase_view/65028983", "UA-2025-12-30-006568-a")</f>
        <v>UA-2025-12-30-006568-a</v>
      </c>
      <c r="C95" s="5" t="s">
        <v>492</v>
      </c>
      <c r="D95" s="5" t="s">
        <v>97</v>
      </c>
      <c r="E95" s="5" t="s">
        <v>506</v>
      </c>
      <c r="F95" s="5" t="s">
        <v>564</v>
      </c>
      <c r="G95" s="5" t="s">
        <v>231</v>
      </c>
      <c r="H95" s="5" t="s">
        <v>183</v>
      </c>
      <c r="I95" s="3">
        <v>2440</v>
      </c>
      <c r="J95" s="5" t="s">
        <v>598</v>
      </c>
      <c r="K95" s="6">
        <v>46021</v>
      </c>
      <c r="L95" s="6">
        <v>46022</v>
      </c>
      <c r="M95" s="5" t="str">
        <f>[1]Звіт!C93</f>
        <v>Виконано</v>
      </c>
    </row>
    <row r="96" spans="1:13" s="2" customFormat="1" ht="26.25" x14ac:dyDescent="0.25">
      <c r="A96" s="3">
        <v>92</v>
      </c>
      <c r="B96" s="4" t="str">
        <f>HYPERLINK("https://my.zakupivli.pro/remote/dispatcher/state_purchase_view/65026587", "UA-2025-12-30-005454-a")</f>
        <v>UA-2025-12-30-005454-a</v>
      </c>
      <c r="C96" s="5" t="s">
        <v>837</v>
      </c>
      <c r="D96" s="5" t="s">
        <v>268</v>
      </c>
      <c r="E96" s="5" t="s">
        <v>506</v>
      </c>
      <c r="F96" s="5" t="s">
        <v>576</v>
      </c>
      <c r="G96" s="5" t="s">
        <v>250</v>
      </c>
      <c r="H96" s="5" t="s">
        <v>238</v>
      </c>
      <c r="I96" s="3">
        <v>2099</v>
      </c>
      <c r="J96" s="5" t="s">
        <v>598</v>
      </c>
      <c r="K96" s="6">
        <v>46021</v>
      </c>
      <c r="L96" s="6">
        <v>46022</v>
      </c>
      <c r="M96" s="5" t="str">
        <f>[1]Звіт!C94</f>
        <v>Виконано</v>
      </c>
    </row>
    <row r="97" spans="1:13" s="2" customFormat="1" ht="26.25" x14ac:dyDescent="0.25">
      <c r="A97" s="3">
        <v>93</v>
      </c>
      <c r="B97" s="4" t="str">
        <f>HYPERLINK("https://my.zakupivli.pro/remote/dispatcher/state_purchase_view/58580490", "UA-2025-04-07-002526-a")</f>
        <v>UA-2025-04-07-002526-a</v>
      </c>
      <c r="C97" s="5" t="s">
        <v>770</v>
      </c>
      <c r="D97" s="5" t="s">
        <v>359</v>
      </c>
      <c r="E97" s="5" t="s">
        <v>506</v>
      </c>
      <c r="F97" s="5" t="s">
        <v>514</v>
      </c>
      <c r="G97" s="5" t="s">
        <v>173</v>
      </c>
      <c r="H97" s="5" t="s">
        <v>440</v>
      </c>
      <c r="I97" s="3">
        <v>58</v>
      </c>
      <c r="J97" s="5" t="s">
        <v>598</v>
      </c>
      <c r="K97" s="6">
        <v>45754</v>
      </c>
      <c r="L97" s="6">
        <v>46022</v>
      </c>
      <c r="M97" s="5" t="str">
        <f>[1]Звіт!C95</f>
        <v>Виконано</v>
      </c>
    </row>
    <row r="98" spans="1:13" s="2" customFormat="1" ht="90" x14ac:dyDescent="0.25">
      <c r="A98" s="3">
        <v>94</v>
      </c>
      <c r="B98" s="4" t="str">
        <f>HYPERLINK("https://my.zakupivli.pro/remote/dispatcher/state_purchase_view/59901818", "UA-2025-06-05-003168-a")</f>
        <v>UA-2025-06-05-003168-a</v>
      </c>
      <c r="C98" s="5" t="s">
        <v>853</v>
      </c>
      <c r="D98" s="5" t="s">
        <v>278</v>
      </c>
      <c r="E98" s="5" t="s">
        <v>506</v>
      </c>
      <c r="F98" s="5" t="s">
        <v>473</v>
      </c>
      <c r="G98" s="5" t="s">
        <v>138</v>
      </c>
      <c r="H98" s="5" t="s">
        <v>65</v>
      </c>
      <c r="I98" s="7">
        <v>11229.66</v>
      </c>
      <c r="J98" s="5" t="s">
        <v>705</v>
      </c>
      <c r="K98" s="6">
        <v>45813</v>
      </c>
      <c r="L98" s="6">
        <v>46022</v>
      </c>
      <c r="M98" s="5" t="str">
        <f>[1]Звіт!C96</f>
        <v>Виконано</v>
      </c>
    </row>
    <row r="99" spans="1:13" s="2" customFormat="1" ht="26.25" x14ac:dyDescent="0.25">
      <c r="A99" s="3">
        <v>95</v>
      </c>
      <c r="B99" s="4" t="str">
        <f>HYPERLINK("https://my.zakupivli.pro/remote/dispatcher/state_purchase_view/60085389", "UA-2025-06-13-004669-a")</f>
        <v>UA-2025-06-13-004669-a</v>
      </c>
      <c r="C99" s="5" t="s">
        <v>491</v>
      </c>
      <c r="D99" s="5" t="s">
        <v>88</v>
      </c>
      <c r="E99" s="5" t="s">
        <v>506</v>
      </c>
      <c r="F99" s="5" t="s">
        <v>591</v>
      </c>
      <c r="G99" s="5" t="s">
        <v>160</v>
      </c>
      <c r="H99" s="5" t="s">
        <v>69</v>
      </c>
      <c r="I99" s="3">
        <v>9300</v>
      </c>
      <c r="J99" s="5" t="s">
        <v>598</v>
      </c>
      <c r="K99" s="6">
        <v>45821</v>
      </c>
      <c r="L99" s="6">
        <v>46022</v>
      </c>
      <c r="M99" s="5" t="str">
        <f>[1]Звіт!C97</f>
        <v>Виконано</v>
      </c>
    </row>
    <row r="100" spans="1:13" s="2" customFormat="1" ht="26.25" x14ac:dyDescent="0.25">
      <c r="A100" s="3">
        <v>96</v>
      </c>
      <c r="B100" s="4" t="str">
        <f>HYPERLINK("https://my.zakupivli.pro/remote/dispatcher/state_purchase_view/57016181", "UA-2025-01-29-006665-a")</f>
        <v>UA-2025-01-29-006665-a</v>
      </c>
      <c r="C100" s="5" t="s">
        <v>346</v>
      </c>
      <c r="D100" s="5" t="s">
        <v>346</v>
      </c>
      <c r="E100" s="5" t="s">
        <v>506</v>
      </c>
      <c r="F100" s="5" t="s">
        <v>505</v>
      </c>
      <c r="G100" s="5" t="s">
        <v>143</v>
      </c>
      <c r="H100" s="5" t="s">
        <v>136</v>
      </c>
      <c r="I100" s="7">
        <v>19165.22</v>
      </c>
      <c r="J100" s="5" t="s">
        <v>705</v>
      </c>
      <c r="K100" s="6">
        <v>45686</v>
      </c>
      <c r="L100" s="6">
        <v>46022</v>
      </c>
      <c r="M100" s="5" t="str">
        <f>[1]Звіт!C98</f>
        <v>Виконано</v>
      </c>
    </row>
    <row r="101" spans="1:13" s="2" customFormat="1" ht="51.75" x14ac:dyDescent="0.25">
      <c r="A101" s="3">
        <v>97</v>
      </c>
      <c r="B101" s="4" t="str">
        <f>HYPERLINK("https://my.zakupivli.pro/remote/dispatcher/state_purchase_view/57166520", "UA-2025-02-04-003100-a")</f>
        <v>UA-2025-02-04-003100-a</v>
      </c>
      <c r="C101" s="5" t="s">
        <v>458</v>
      </c>
      <c r="D101" s="5" t="s">
        <v>410</v>
      </c>
      <c r="E101" s="5" t="s">
        <v>506</v>
      </c>
      <c r="F101" s="5" t="s">
        <v>695</v>
      </c>
      <c r="G101" s="5" t="s">
        <v>324</v>
      </c>
      <c r="H101" s="5" t="s">
        <v>607</v>
      </c>
      <c r="I101" s="3">
        <v>840</v>
      </c>
      <c r="J101" s="5" t="s">
        <v>598</v>
      </c>
      <c r="K101" s="6">
        <v>45692</v>
      </c>
      <c r="L101" s="6">
        <v>46022</v>
      </c>
      <c r="M101" s="5" t="str">
        <f>[1]Звіт!C99</f>
        <v>Виконано</v>
      </c>
    </row>
    <row r="102" spans="1:13" s="2" customFormat="1" ht="51.75" x14ac:dyDescent="0.25">
      <c r="A102" s="3">
        <v>98</v>
      </c>
      <c r="B102" s="4" t="str">
        <f>HYPERLINK("https://my.zakupivli.pro/remote/dispatcher/state_purchase_view/56939727", "UA-2025-01-27-011827-a")</f>
        <v>UA-2025-01-27-011827-a</v>
      </c>
      <c r="C102" s="5" t="s">
        <v>232</v>
      </c>
      <c r="D102" s="5" t="s">
        <v>232</v>
      </c>
      <c r="E102" s="5" t="s">
        <v>506</v>
      </c>
      <c r="F102" s="5" t="s">
        <v>696</v>
      </c>
      <c r="G102" s="5" t="s">
        <v>275</v>
      </c>
      <c r="H102" s="5" t="s">
        <v>19</v>
      </c>
      <c r="I102" s="7">
        <v>13281.48</v>
      </c>
      <c r="J102" s="5" t="s">
        <v>705</v>
      </c>
      <c r="K102" s="6">
        <v>45684</v>
      </c>
      <c r="L102" s="6">
        <v>46022</v>
      </c>
      <c r="M102" s="5" t="str">
        <f>[1]Звіт!C100</f>
        <v>Виконано</v>
      </c>
    </row>
    <row r="103" spans="1:13" s="2" customFormat="1" ht="77.25" x14ac:dyDescent="0.25">
      <c r="A103" s="3">
        <v>99</v>
      </c>
      <c r="B103" s="4" t="str">
        <f>HYPERLINK("https://my.zakupivli.pro/remote/dispatcher/state_purchase_view/56312618", "UA-2025-01-01-001213-a")</f>
        <v>UA-2025-01-01-001213-a</v>
      </c>
      <c r="C103" s="5" t="s">
        <v>544</v>
      </c>
      <c r="D103" s="5" t="s">
        <v>425</v>
      </c>
      <c r="E103" s="5" t="s">
        <v>506</v>
      </c>
      <c r="F103" s="5" t="s">
        <v>711</v>
      </c>
      <c r="G103" s="5" t="s">
        <v>318</v>
      </c>
      <c r="H103" s="5" t="s">
        <v>256</v>
      </c>
      <c r="I103" s="3">
        <v>9600</v>
      </c>
      <c r="J103" s="5" t="s">
        <v>705</v>
      </c>
      <c r="K103" s="6">
        <v>45658</v>
      </c>
      <c r="L103" s="6">
        <v>46022</v>
      </c>
      <c r="M103" s="5" t="str">
        <f>[1]Звіт!C101</f>
        <v>Виконано</v>
      </c>
    </row>
    <row r="104" spans="1:13" s="2" customFormat="1" ht="26.25" x14ac:dyDescent="0.25">
      <c r="A104" s="3">
        <v>100</v>
      </c>
      <c r="B104" s="4" t="str">
        <f>HYPERLINK("https://my.zakupivli.pro/remote/dispatcher/state_purchase_view/59340414", "UA-2025-05-12-002509-a")</f>
        <v>UA-2025-05-12-002509-a</v>
      </c>
      <c r="C104" s="5" t="s">
        <v>860</v>
      </c>
      <c r="D104" s="5" t="s">
        <v>360</v>
      </c>
      <c r="E104" s="5" t="s">
        <v>506</v>
      </c>
      <c r="F104" s="5" t="s">
        <v>505</v>
      </c>
      <c r="G104" s="5" t="s">
        <v>143</v>
      </c>
      <c r="H104" s="5" t="s">
        <v>20</v>
      </c>
      <c r="I104" s="3">
        <v>13479</v>
      </c>
      <c r="J104" s="5" t="s">
        <v>705</v>
      </c>
      <c r="K104" s="6">
        <v>45786</v>
      </c>
      <c r="L104" s="6">
        <v>46022</v>
      </c>
      <c r="M104" s="5" t="str">
        <f>[1]Звіт!C102</f>
        <v>Виконано</v>
      </c>
    </row>
    <row r="105" spans="1:13" s="2" customFormat="1" ht="26.25" x14ac:dyDescent="0.25">
      <c r="A105" s="3">
        <v>101</v>
      </c>
      <c r="B105" s="4" t="str">
        <f>HYPERLINK("https://my.zakupivli.pro/remote/dispatcher/state_purchase_view/59703867", "UA-2025-05-27-008724-a")</f>
        <v>UA-2025-05-27-008724-a</v>
      </c>
      <c r="C105" s="5" t="s">
        <v>487</v>
      </c>
      <c r="D105" s="5" t="s">
        <v>12</v>
      </c>
      <c r="E105" s="5" t="s">
        <v>506</v>
      </c>
      <c r="F105" s="5" t="s">
        <v>591</v>
      </c>
      <c r="G105" s="5" t="s">
        <v>160</v>
      </c>
      <c r="H105" s="5" t="s">
        <v>59</v>
      </c>
      <c r="I105" s="3">
        <v>1550</v>
      </c>
      <c r="J105" s="5" t="s">
        <v>598</v>
      </c>
      <c r="K105" s="6">
        <v>45804</v>
      </c>
      <c r="L105" s="6">
        <v>46022</v>
      </c>
      <c r="M105" s="5" t="str">
        <f>[1]Звіт!C103</f>
        <v>Виконано</v>
      </c>
    </row>
    <row r="106" spans="1:13" s="2" customFormat="1" ht="39" x14ac:dyDescent="0.25">
      <c r="A106" s="3">
        <v>102</v>
      </c>
      <c r="B106" s="4" t="str">
        <f>HYPERLINK("https://my.zakupivli.pro/remote/dispatcher/state_purchase_view/59638722", "UA-2025-05-23-007870-a")</f>
        <v>UA-2025-05-23-007870-a</v>
      </c>
      <c r="C106" s="5" t="s">
        <v>808</v>
      </c>
      <c r="D106" s="5" t="s">
        <v>90</v>
      </c>
      <c r="E106" s="5" t="s">
        <v>506</v>
      </c>
      <c r="F106" s="5" t="s">
        <v>591</v>
      </c>
      <c r="G106" s="5" t="s">
        <v>160</v>
      </c>
      <c r="H106" s="5" t="s">
        <v>52</v>
      </c>
      <c r="I106" s="3">
        <v>13475</v>
      </c>
      <c r="J106" s="5" t="s">
        <v>598</v>
      </c>
      <c r="K106" s="6">
        <v>45800</v>
      </c>
      <c r="L106" s="6">
        <v>46022</v>
      </c>
      <c r="M106" s="5" t="str">
        <f>[1]Звіт!C104</f>
        <v>Виконано</v>
      </c>
    </row>
    <row r="107" spans="1:13" s="2" customFormat="1" ht="39" x14ac:dyDescent="0.25">
      <c r="A107" s="3">
        <v>103</v>
      </c>
      <c r="B107" s="4" t="str">
        <f>HYPERLINK("https://my.zakupivli.pro/remote/dispatcher/state_purchase_view/59813151", "UA-2025-06-02-005988-a")</f>
        <v>UA-2025-06-02-005988-a</v>
      </c>
      <c r="C107" s="5" t="s">
        <v>211</v>
      </c>
      <c r="D107" s="5" t="s">
        <v>351</v>
      </c>
      <c r="E107" s="5" t="s">
        <v>506</v>
      </c>
      <c r="F107" s="5" t="s">
        <v>704</v>
      </c>
      <c r="G107" s="5" t="s">
        <v>156</v>
      </c>
      <c r="H107" s="5" t="s">
        <v>62</v>
      </c>
      <c r="I107" s="3">
        <v>736</v>
      </c>
      <c r="J107" s="5" t="s">
        <v>598</v>
      </c>
      <c r="K107" s="6">
        <v>45810</v>
      </c>
      <c r="L107" s="6">
        <v>46022</v>
      </c>
      <c r="M107" s="5" t="str">
        <f>[1]Звіт!C105</f>
        <v>Виконано</v>
      </c>
    </row>
    <row r="108" spans="1:13" s="2" customFormat="1" ht="26.25" x14ac:dyDescent="0.25">
      <c r="A108" s="3">
        <v>104</v>
      </c>
      <c r="B108" s="4" t="str">
        <f>HYPERLINK("https://my.zakupivli.pro/remote/dispatcher/state_purchase_view/60331682", "UA-2025-06-25-003227-a")</f>
        <v>UA-2025-06-25-003227-a</v>
      </c>
      <c r="C108" s="5" t="s">
        <v>762</v>
      </c>
      <c r="D108" s="5" t="s">
        <v>360</v>
      </c>
      <c r="E108" s="5" t="s">
        <v>506</v>
      </c>
      <c r="F108" s="5" t="s">
        <v>514</v>
      </c>
      <c r="G108" s="5" t="s">
        <v>173</v>
      </c>
      <c r="H108" s="5" t="s">
        <v>78</v>
      </c>
      <c r="I108" s="3">
        <v>2660</v>
      </c>
      <c r="J108" s="5" t="s">
        <v>598</v>
      </c>
      <c r="K108" s="6">
        <v>45833</v>
      </c>
      <c r="L108" s="6">
        <v>46022</v>
      </c>
      <c r="M108" s="5" t="str">
        <f>[1]Звіт!C106</f>
        <v>Виконано</v>
      </c>
    </row>
    <row r="109" spans="1:13" s="2" customFormat="1" ht="39" x14ac:dyDescent="0.25">
      <c r="A109" s="3">
        <v>105</v>
      </c>
      <c r="B109" s="4" t="str">
        <f>HYPERLINK("https://my.zakupivli.pro/remote/dispatcher/state_purchase_view/60409501", "UA-2025-06-30-000639-a")</f>
        <v>UA-2025-06-30-000639-a</v>
      </c>
      <c r="C109" s="5" t="s">
        <v>509</v>
      </c>
      <c r="D109" s="5" t="s">
        <v>329</v>
      </c>
      <c r="E109" s="5" t="s">
        <v>506</v>
      </c>
      <c r="F109" s="5" t="s">
        <v>682</v>
      </c>
      <c r="G109" s="5" t="s">
        <v>242</v>
      </c>
      <c r="H109" s="5" t="s">
        <v>196</v>
      </c>
      <c r="I109" s="7">
        <v>2745.6</v>
      </c>
      <c r="J109" s="5" t="s">
        <v>705</v>
      </c>
      <c r="K109" s="6">
        <v>45838</v>
      </c>
      <c r="L109" s="6">
        <v>46022</v>
      </c>
      <c r="M109" s="5" t="str">
        <f>[1]Звіт!C107</f>
        <v>Виконано</v>
      </c>
    </row>
    <row r="110" spans="1:13" s="2" customFormat="1" ht="77.25" x14ac:dyDescent="0.25">
      <c r="A110" s="3">
        <v>106</v>
      </c>
      <c r="B110" s="4" t="str">
        <f>HYPERLINK("https://my.zakupivli.pro/remote/dispatcher/state_purchase_view/56646621", "UA-2025-01-17-006752-a")</f>
        <v>UA-2025-01-17-006752-a</v>
      </c>
      <c r="C110" s="5" t="s">
        <v>459</v>
      </c>
      <c r="D110" s="5" t="s">
        <v>376</v>
      </c>
      <c r="E110" s="5" t="s">
        <v>506</v>
      </c>
      <c r="F110" s="5" t="s">
        <v>527</v>
      </c>
      <c r="G110" s="5" t="s">
        <v>203</v>
      </c>
      <c r="H110" s="5" t="s">
        <v>25</v>
      </c>
      <c r="I110" s="3">
        <v>3000</v>
      </c>
      <c r="J110" s="5" t="s">
        <v>598</v>
      </c>
      <c r="K110" s="6">
        <v>45672</v>
      </c>
      <c r="L110" s="6">
        <v>46022</v>
      </c>
      <c r="M110" s="5" t="str">
        <f>[1]Звіт!C108</f>
        <v>Виконано</v>
      </c>
    </row>
    <row r="111" spans="1:13" s="2" customFormat="1" ht="90" x14ac:dyDescent="0.25">
      <c r="A111" s="3">
        <v>107</v>
      </c>
      <c r="B111" s="4" t="str">
        <f>HYPERLINK("https://my.zakupivli.pro/remote/dispatcher/state_purchase_view/58293492", "UA-2025-03-24-005953-a")</f>
        <v>UA-2025-03-24-005953-a</v>
      </c>
      <c r="C111" s="5" t="s">
        <v>641</v>
      </c>
      <c r="D111" s="5" t="s">
        <v>409</v>
      </c>
      <c r="E111" s="5" t="s">
        <v>506</v>
      </c>
      <c r="F111" s="5" t="s">
        <v>614</v>
      </c>
      <c r="G111" s="5" t="s">
        <v>283</v>
      </c>
      <c r="H111" s="5" t="s">
        <v>414</v>
      </c>
      <c r="I111" s="3">
        <v>1600</v>
      </c>
      <c r="J111" s="5" t="s">
        <v>598</v>
      </c>
      <c r="K111" s="6">
        <v>45740</v>
      </c>
      <c r="L111" s="6">
        <v>46022</v>
      </c>
      <c r="M111" s="5" t="str">
        <f>[1]Звіт!C109</f>
        <v>Виконано</v>
      </c>
    </row>
    <row r="112" spans="1:13" s="2" customFormat="1" ht="39" x14ac:dyDescent="0.25">
      <c r="A112" s="3">
        <v>108</v>
      </c>
      <c r="B112" s="4" t="str">
        <f>HYPERLINK("https://my.zakupivli.pro/remote/dispatcher/state_purchase_view/58164770", "UA-2025-03-18-006907-a")</f>
        <v>UA-2025-03-18-006907-a</v>
      </c>
      <c r="C112" s="5" t="s">
        <v>827</v>
      </c>
      <c r="D112" s="5" t="s">
        <v>273</v>
      </c>
      <c r="E112" s="5" t="s">
        <v>506</v>
      </c>
      <c r="F112" s="5" t="s">
        <v>573</v>
      </c>
      <c r="G112" s="5" t="s">
        <v>189</v>
      </c>
      <c r="H112" s="5" t="s">
        <v>401</v>
      </c>
      <c r="I112" s="3">
        <v>234</v>
      </c>
      <c r="J112" s="5" t="s">
        <v>598</v>
      </c>
      <c r="K112" s="6">
        <v>45734</v>
      </c>
      <c r="L112" s="6">
        <v>46022</v>
      </c>
      <c r="M112" s="5" t="str">
        <f>[1]Звіт!C110</f>
        <v>Виконано</v>
      </c>
    </row>
    <row r="113" spans="1:13" s="2" customFormat="1" ht="51.75" x14ac:dyDescent="0.25">
      <c r="A113" s="3">
        <v>109</v>
      </c>
      <c r="B113" s="4" t="str">
        <f>HYPERLINK("https://my.zakupivli.pro/remote/dispatcher/state_purchase_view/58123196", "UA-2025-03-17-002184-a")</f>
        <v>UA-2025-03-17-002184-a</v>
      </c>
      <c r="C113" s="5" t="s">
        <v>759</v>
      </c>
      <c r="D113" s="5" t="s">
        <v>276</v>
      </c>
      <c r="E113" s="5" t="s">
        <v>506</v>
      </c>
      <c r="F113" s="5" t="s">
        <v>466</v>
      </c>
      <c r="G113" s="5" t="s">
        <v>206</v>
      </c>
      <c r="H113" s="5" t="s">
        <v>393</v>
      </c>
      <c r="I113" s="3">
        <v>405</v>
      </c>
      <c r="J113" s="5" t="s">
        <v>598</v>
      </c>
      <c r="K113" s="6">
        <v>45733</v>
      </c>
      <c r="L113" s="6">
        <v>46022</v>
      </c>
      <c r="M113" s="5" t="str">
        <f>[1]Звіт!C111</f>
        <v>Виконано</v>
      </c>
    </row>
    <row r="114" spans="1:13" s="2" customFormat="1" ht="39" x14ac:dyDescent="0.25">
      <c r="A114" s="3">
        <v>110</v>
      </c>
      <c r="B114" s="4" t="str">
        <f>HYPERLINK("https://my.zakupivli.pro/remote/dispatcher/state_purchase_view/61224736", "UA-2025-08-12-000356-a")</f>
        <v>UA-2025-08-12-000356-a</v>
      </c>
      <c r="C114" s="5" t="s">
        <v>547</v>
      </c>
      <c r="D114" s="5" t="s">
        <v>131</v>
      </c>
      <c r="E114" s="5" t="s">
        <v>506</v>
      </c>
      <c r="F114" s="5" t="s">
        <v>576</v>
      </c>
      <c r="G114" s="5" t="s">
        <v>250</v>
      </c>
      <c r="H114" s="5" t="s">
        <v>38</v>
      </c>
      <c r="I114" s="3">
        <v>17835</v>
      </c>
      <c r="J114" s="5" t="s">
        <v>598</v>
      </c>
      <c r="K114" s="6">
        <v>45881</v>
      </c>
      <c r="L114" s="6">
        <v>46022</v>
      </c>
      <c r="M114" s="5" t="str">
        <f>[1]Звіт!C112</f>
        <v>Виконано</v>
      </c>
    </row>
    <row r="115" spans="1:13" s="2" customFormat="1" ht="51.75" x14ac:dyDescent="0.25">
      <c r="A115" s="3">
        <v>111</v>
      </c>
      <c r="B115" s="4" t="str">
        <f>HYPERLINK("https://my.zakupivli.pro/remote/dispatcher/state_purchase_view/60749161", "UA-2025-07-16-006183-a")</f>
        <v>UA-2025-07-16-006183-a</v>
      </c>
      <c r="C115" s="5" t="s">
        <v>650</v>
      </c>
      <c r="D115" s="5" t="s">
        <v>186</v>
      </c>
      <c r="E115" s="5" t="s">
        <v>506</v>
      </c>
      <c r="F115" s="5" t="s">
        <v>481</v>
      </c>
      <c r="G115" s="5" t="s">
        <v>199</v>
      </c>
      <c r="H115" s="5" t="s">
        <v>105</v>
      </c>
      <c r="I115" s="3">
        <v>13000</v>
      </c>
      <c r="J115" s="5" t="s">
        <v>598</v>
      </c>
      <c r="K115" s="6">
        <v>45854</v>
      </c>
      <c r="L115" s="6">
        <v>46022</v>
      </c>
      <c r="M115" s="5" t="str">
        <f>[1]Звіт!C113</f>
        <v>Виконано</v>
      </c>
    </row>
    <row r="116" spans="1:13" s="2" customFormat="1" ht="39" x14ac:dyDescent="0.25">
      <c r="A116" s="3">
        <v>112</v>
      </c>
      <c r="B116" s="4" t="str">
        <f>HYPERLINK("https://my.zakupivli.pro/remote/dispatcher/state_purchase_view/58417123", "UA-2025-03-28-008165-a")</f>
        <v>UA-2025-03-28-008165-a</v>
      </c>
      <c r="C116" s="5" t="s">
        <v>604</v>
      </c>
      <c r="D116" s="5" t="s">
        <v>254</v>
      </c>
      <c r="E116" s="5" t="s">
        <v>508</v>
      </c>
      <c r="F116" s="5" t="s">
        <v>674</v>
      </c>
      <c r="G116" s="5" t="s">
        <v>151</v>
      </c>
      <c r="H116" s="5" t="s">
        <v>432</v>
      </c>
      <c r="I116" s="3">
        <v>32100</v>
      </c>
      <c r="J116" s="5" t="s">
        <v>705</v>
      </c>
      <c r="K116" s="6">
        <v>45751</v>
      </c>
      <c r="L116" s="6">
        <v>46022</v>
      </c>
      <c r="M116" s="5" t="str">
        <f>[1]Звіт!C114</f>
        <v>Виконано</v>
      </c>
    </row>
    <row r="117" spans="1:13" s="2" customFormat="1" ht="166.5" x14ac:dyDescent="0.25">
      <c r="A117" s="3">
        <v>113</v>
      </c>
      <c r="B117" s="4" t="str">
        <f>HYPERLINK("https://my.zakupivli.pro/remote/dispatcher/state_purchase_view/63762638", "UA-2025-11-25-000500-a")</f>
        <v>UA-2025-11-25-000500-a</v>
      </c>
      <c r="C117" s="5" t="s">
        <v>513</v>
      </c>
      <c r="D117" s="5" t="s">
        <v>259</v>
      </c>
      <c r="E117" s="5" t="s">
        <v>508</v>
      </c>
      <c r="F117" s="5" t="s">
        <v>659</v>
      </c>
      <c r="G117" s="5" t="s">
        <v>336</v>
      </c>
      <c r="H117" s="5" t="s">
        <v>155</v>
      </c>
      <c r="I117" s="7">
        <v>17477.490000000002</v>
      </c>
      <c r="J117" s="5" t="s">
        <v>705</v>
      </c>
      <c r="K117" s="6">
        <v>45994</v>
      </c>
      <c r="L117" s="6">
        <v>46022</v>
      </c>
      <c r="M117" s="5" t="str">
        <f>[1]Звіт!C115</f>
        <v>Виконано</v>
      </c>
    </row>
    <row r="118" spans="1:13" s="2" customFormat="1" ht="90" x14ac:dyDescent="0.25">
      <c r="A118" s="3">
        <v>114</v>
      </c>
      <c r="B118" s="4" t="str">
        <f>HYPERLINK("https://my.zakupivli.pro/remote/dispatcher/state_purchase_view/59972980", "UA-2025-06-09-008003-a")</f>
        <v>UA-2025-06-09-008003-a</v>
      </c>
      <c r="C118" s="5" t="s">
        <v>565</v>
      </c>
      <c r="D118" s="5" t="s">
        <v>293</v>
      </c>
      <c r="E118" s="5" t="s">
        <v>479</v>
      </c>
      <c r="F118" s="5" t="s">
        <v>578</v>
      </c>
      <c r="G118" s="5" t="s">
        <v>332</v>
      </c>
      <c r="H118" s="5" t="s">
        <v>81</v>
      </c>
      <c r="I118" s="7">
        <v>699999.35</v>
      </c>
      <c r="J118" s="5" t="s">
        <v>705</v>
      </c>
      <c r="K118" s="6">
        <v>45834</v>
      </c>
      <c r="L118" s="6">
        <v>46022</v>
      </c>
      <c r="M118" s="5" t="str">
        <f>[1]Звіт!C116</f>
        <v>Виконано</v>
      </c>
    </row>
    <row r="119" spans="1:13" s="2" customFormat="1" ht="77.25" x14ac:dyDescent="0.25">
      <c r="A119" s="3">
        <v>115</v>
      </c>
      <c r="B119" s="4" t="str">
        <f>HYPERLINK("https://my.zakupivli.pro/remote/dispatcher/state_purchase_view/58418644", "UA-2025-03-28-008964-a")</f>
        <v>UA-2025-03-28-008964-a</v>
      </c>
      <c r="C119" s="5" t="s">
        <v>510</v>
      </c>
      <c r="D119" s="5" t="s">
        <v>182</v>
      </c>
      <c r="E119" s="5" t="s">
        <v>508</v>
      </c>
      <c r="F119" s="5" t="s">
        <v>710</v>
      </c>
      <c r="G119" s="5" t="s">
        <v>327</v>
      </c>
      <c r="H119" s="5" t="s">
        <v>439</v>
      </c>
      <c r="I119" s="7">
        <v>98279.46</v>
      </c>
      <c r="J119" s="5" t="s">
        <v>598</v>
      </c>
      <c r="K119" s="6">
        <v>45754</v>
      </c>
      <c r="L119" s="6">
        <v>46022</v>
      </c>
      <c r="M119" s="5" t="str">
        <f>[1]Звіт!C117</f>
        <v>Виконано</v>
      </c>
    </row>
    <row r="120" spans="1:13" s="2" customFormat="1" ht="26.25" x14ac:dyDescent="0.25">
      <c r="A120" s="3">
        <v>116</v>
      </c>
      <c r="B120" s="4" t="str">
        <f>HYPERLINK("https://my.zakupivli.pro/remote/dispatcher/state_purchase_view/63516700", "UA-2025-11-17-001901-a")</f>
        <v>UA-2025-11-17-001901-a</v>
      </c>
      <c r="C120" s="5" t="s">
        <v>304</v>
      </c>
      <c r="D120" s="5" t="s">
        <v>303</v>
      </c>
      <c r="E120" s="5" t="s">
        <v>506</v>
      </c>
      <c r="F120" s="5" t="s">
        <v>512</v>
      </c>
      <c r="G120" s="5" t="s">
        <v>240</v>
      </c>
      <c r="H120" s="5" t="s">
        <v>145</v>
      </c>
      <c r="I120" s="3">
        <v>9700</v>
      </c>
      <c r="J120" s="5" t="s">
        <v>598</v>
      </c>
      <c r="K120" s="6">
        <v>45978</v>
      </c>
      <c r="L120" s="6">
        <v>46022</v>
      </c>
      <c r="M120" s="5" t="str">
        <f>[1]Звіт!C118</f>
        <v>Виконано</v>
      </c>
    </row>
    <row r="121" spans="1:13" s="2" customFormat="1" ht="51.75" x14ac:dyDescent="0.25">
      <c r="A121" s="3">
        <v>117</v>
      </c>
      <c r="B121" s="4" t="str">
        <f>HYPERLINK("https://my.zakupivli.pro/remote/dispatcher/state_purchase_view/63597265", "UA-2025-11-19-001876-a")</f>
        <v>UA-2025-11-19-001876-a</v>
      </c>
      <c r="C121" s="5" t="s">
        <v>558</v>
      </c>
      <c r="D121" s="5" t="s">
        <v>329</v>
      </c>
      <c r="E121" s="5" t="s">
        <v>506</v>
      </c>
      <c r="F121" s="5" t="s">
        <v>466</v>
      </c>
      <c r="G121" s="5" t="s">
        <v>206</v>
      </c>
      <c r="H121" s="5" t="s">
        <v>147</v>
      </c>
      <c r="I121" s="3">
        <v>380</v>
      </c>
      <c r="J121" s="5" t="s">
        <v>705</v>
      </c>
      <c r="K121" s="6">
        <v>45980</v>
      </c>
      <c r="L121" s="6">
        <v>46022</v>
      </c>
      <c r="M121" s="5" t="str">
        <f>[1]Звіт!C119</f>
        <v>Виконано</v>
      </c>
    </row>
    <row r="122" spans="1:13" s="2" customFormat="1" ht="26.25" x14ac:dyDescent="0.25">
      <c r="A122" s="3">
        <v>118</v>
      </c>
      <c r="B122" s="4" t="str">
        <f>HYPERLINK("https://my.zakupivli.pro/remote/dispatcher/state_purchase_view/63570316", "UA-2025-11-18-008016-a")</f>
        <v>UA-2025-11-18-008016-a</v>
      </c>
      <c r="C122" s="5" t="s">
        <v>619</v>
      </c>
      <c r="D122" s="5" t="s">
        <v>213</v>
      </c>
      <c r="E122" s="5" t="s">
        <v>506</v>
      </c>
      <c r="F122" s="5" t="s">
        <v>722</v>
      </c>
      <c r="G122" s="5" t="s">
        <v>218</v>
      </c>
      <c r="H122" s="5" t="s">
        <v>124</v>
      </c>
      <c r="I122" s="3">
        <v>29455</v>
      </c>
      <c r="J122" s="5" t="s">
        <v>598</v>
      </c>
      <c r="K122" s="6">
        <v>45979</v>
      </c>
      <c r="L122" s="6">
        <v>46022</v>
      </c>
      <c r="M122" s="5" t="str">
        <f>[1]Звіт!C120</f>
        <v>Виконано</v>
      </c>
    </row>
    <row r="123" spans="1:13" s="2" customFormat="1" ht="64.5" x14ac:dyDescent="0.25">
      <c r="A123" s="3">
        <v>119</v>
      </c>
      <c r="B123" s="4" t="str">
        <f>HYPERLINK("https://my.zakupivli.pro/remote/dispatcher/state_purchase_view/64762580", "UA-2025-12-22-005599-a")</f>
        <v>UA-2025-12-22-005599-a</v>
      </c>
      <c r="C123" s="5" t="s">
        <v>541</v>
      </c>
      <c r="D123" s="5" t="s">
        <v>400</v>
      </c>
      <c r="E123" s="5" t="s">
        <v>506</v>
      </c>
      <c r="F123" s="5" t="s">
        <v>652</v>
      </c>
      <c r="G123" s="5" t="s">
        <v>317</v>
      </c>
      <c r="H123" s="5" t="s">
        <v>26</v>
      </c>
      <c r="I123" s="7">
        <v>723.66</v>
      </c>
      <c r="J123" s="5" t="s">
        <v>705</v>
      </c>
      <c r="K123" s="6">
        <v>46013</v>
      </c>
      <c r="L123" s="6">
        <v>46022</v>
      </c>
      <c r="M123" s="5" t="str">
        <f>[1]Звіт!C121</f>
        <v>Виконано</v>
      </c>
    </row>
    <row r="124" spans="1:13" s="2" customFormat="1" ht="51.75" x14ac:dyDescent="0.25">
      <c r="A124" s="3">
        <v>120</v>
      </c>
      <c r="B124" s="4" t="str">
        <f>HYPERLINK("https://my.zakupivli.pro/remote/dispatcher/state_purchase_view/64888974", "UA-2025-12-24-012282-a")</f>
        <v>UA-2025-12-24-012282-a</v>
      </c>
      <c r="C124" s="5" t="s">
        <v>758</v>
      </c>
      <c r="D124" s="5" t="s">
        <v>375</v>
      </c>
      <c r="E124" s="5" t="s">
        <v>506</v>
      </c>
      <c r="F124" s="5" t="s">
        <v>657</v>
      </c>
      <c r="G124" s="5" t="s">
        <v>194</v>
      </c>
      <c r="H124" s="5" t="s">
        <v>45</v>
      </c>
      <c r="I124" s="3">
        <v>9700</v>
      </c>
      <c r="J124" s="5" t="s">
        <v>598</v>
      </c>
      <c r="K124" s="6">
        <v>46015</v>
      </c>
      <c r="L124" s="6">
        <v>46022</v>
      </c>
      <c r="M124" s="5" t="str">
        <f>[1]Звіт!C122</f>
        <v>Виконано</v>
      </c>
    </row>
    <row r="125" spans="1:13" s="2" customFormat="1" ht="39" x14ac:dyDescent="0.25">
      <c r="A125" s="3">
        <v>121</v>
      </c>
      <c r="B125" s="4" t="str">
        <f>HYPERLINK("https://my.zakupivli.pro/remote/dispatcher/state_purchase_view/62647265", "UA-2025-10-14-009975-a")</f>
        <v>UA-2025-10-14-009975-a</v>
      </c>
      <c r="C125" s="5" t="s">
        <v>776</v>
      </c>
      <c r="D125" s="5" t="s">
        <v>329</v>
      </c>
      <c r="E125" s="5" t="s">
        <v>506</v>
      </c>
      <c r="F125" s="5" t="s">
        <v>466</v>
      </c>
      <c r="G125" s="5" t="s">
        <v>206</v>
      </c>
      <c r="H125" s="5" t="s">
        <v>137</v>
      </c>
      <c r="I125" s="3">
        <v>2200</v>
      </c>
      <c r="J125" s="5" t="s">
        <v>598</v>
      </c>
      <c r="K125" s="6">
        <v>45944</v>
      </c>
      <c r="L125" s="6">
        <v>46022</v>
      </c>
      <c r="M125" s="5" t="str">
        <f>[1]Звіт!C123</f>
        <v>Виконано</v>
      </c>
    </row>
    <row r="126" spans="1:13" s="2" customFormat="1" ht="26.25" x14ac:dyDescent="0.25">
      <c r="A126" s="3">
        <v>122</v>
      </c>
      <c r="B126" s="4" t="str">
        <f>HYPERLINK("https://my.zakupivli.pro/remote/dispatcher/state_purchase_view/62648210", "UA-2025-10-14-010414-a")</f>
        <v>UA-2025-10-14-010414-a</v>
      </c>
      <c r="C126" s="5" t="s">
        <v>511</v>
      </c>
      <c r="D126" s="5" t="s">
        <v>347</v>
      </c>
      <c r="E126" s="5" t="s">
        <v>506</v>
      </c>
      <c r="F126" s="5" t="s">
        <v>466</v>
      </c>
      <c r="G126" s="5" t="s">
        <v>206</v>
      </c>
      <c r="H126" s="5" t="s">
        <v>137</v>
      </c>
      <c r="I126" s="3">
        <v>1250</v>
      </c>
      <c r="J126" s="5" t="s">
        <v>598</v>
      </c>
      <c r="K126" s="6">
        <v>45944</v>
      </c>
      <c r="L126" s="6">
        <v>46022</v>
      </c>
      <c r="M126" s="5" t="str">
        <f>[1]Звіт!C124</f>
        <v>Виконано</v>
      </c>
    </row>
    <row r="127" spans="1:13" s="2" customFormat="1" ht="39" x14ac:dyDescent="0.25">
      <c r="A127" s="3">
        <v>123</v>
      </c>
      <c r="B127" s="4" t="str">
        <f>HYPERLINK("https://my.zakupivli.pro/remote/dispatcher/state_purchase_view/61910956", "UA-2025-09-12-006831-a")</f>
        <v>UA-2025-09-12-006831-a</v>
      </c>
      <c r="C127" s="5" t="s">
        <v>492</v>
      </c>
      <c r="D127" s="5" t="s">
        <v>97</v>
      </c>
      <c r="E127" s="5" t="s">
        <v>506</v>
      </c>
      <c r="F127" s="5" t="s">
        <v>591</v>
      </c>
      <c r="G127" s="5" t="s">
        <v>160</v>
      </c>
      <c r="H127" s="5" t="s">
        <v>122</v>
      </c>
      <c r="I127" s="3">
        <v>2440</v>
      </c>
      <c r="J127" s="5" t="s">
        <v>598</v>
      </c>
      <c r="K127" s="6">
        <v>45912</v>
      </c>
      <c r="L127" s="6">
        <v>46022</v>
      </c>
      <c r="M127" s="5" t="str">
        <f>[1]Звіт!C125</f>
        <v>Виконано</v>
      </c>
    </row>
    <row r="128" spans="1:13" s="2" customFormat="1" ht="39" x14ac:dyDescent="0.25">
      <c r="A128" s="3">
        <v>124</v>
      </c>
      <c r="B128" s="4" t="str">
        <f>HYPERLINK("https://my.zakupivli.pro/remote/dispatcher/state_purchase_view/58035975", "UA-2025-03-12-005547-a")</f>
        <v>UA-2025-03-12-005547-a</v>
      </c>
      <c r="C128" s="5" t="s">
        <v>490</v>
      </c>
      <c r="D128" s="5" t="s">
        <v>96</v>
      </c>
      <c r="E128" s="5" t="s">
        <v>506</v>
      </c>
      <c r="F128" s="5" t="s">
        <v>591</v>
      </c>
      <c r="G128" s="5" t="s">
        <v>160</v>
      </c>
      <c r="H128" s="5" t="s">
        <v>392</v>
      </c>
      <c r="I128" s="3">
        <v>2900</v>
      </c>
      <c r="J128" s="5" t="s">
        <v>598</v>
      </c>
      <c r="K128" s="6">
        <v>45728</v>
      </c>
      <c r="L128" s="6">
        <v>46022</v>
      </c>
      <c r="M128" s="5" t="str">
        <f>[1]Звіт!C126</f>
        <v>Виконано</v>
      </c>
    </row>
    <row r="129" spans="1:13" s="2" customFormat="1" ht="51.75" x14ac:dyDescent="0.25">
      <c r="A129" s="3">
        <v>125</v>
      </c>
      <c r="B129" s="4" t="str">
        <f>HYPERLINK("https://my.zakupivli.pro/remote/dispatcher/state_purchase_view/56942191", "UA-2025-01-27-012905-a")</f>
        <v>UA-2025-01-27-012905-a</v>
      </c>
      <c r="C129" s="5" t="s">
        <v>345</v>
      </c>
      <c r="D129" s="5" t="s">
        <v>345</v>
      </c>
      <c r="E129" s="5" t="s">
        <v>506</v>
      </c>
      <c r="F129" s="5" t="s">
        <v>696</v>
      </c>
      <c r="G129" s="5" t="s">
        <v>275</v>
      </c>
      <c r="H129" s="5" t="s">
        <v>19</v>
      </c>
      <c r="I129" s="7">
        <v>4851.6000000000004</v>
      </c>
      <c r="J129" s="5" t="s">
        <v>705</v>
      </c>
      <c r="K129" s="6">
        <v>45684</v>
      </c>
      <c r="L129" s="6">
        <v>46022</v>
      </c>
      <c r="M129" s="5" t="str">
        <f>[1]Звіт!C127</f>
        <v>Виконано</v>
      </c>
    </row>
    <row r="130" spans="1:13" s="2" customFormat="1" ht="26.25" x14ac:dyDescent="0.25">
      <c r="A130" s="3">
        <v>126</v>
      </c>
      <c r="B130" s="4" t="str">
        <f>HYPERLINK("https://my.zakupivli.pro/remote/dispatcher/state_purchase_view/57908352", "UA-2025-03-06-002317-a")</f>
        <v>UA-2025-03-06-002317-a</v>
      </c>
      <c r="C130" s="5" t="s">
        <v>556</v>
      </c>
      <c r="D130" s="5" t="s">
        <v>87</v>
      </c>
      <c r="E130" s="5" t="s">
        <v>506</v>
      </c>
      <c r="F130" s="5" t="s">
        <v>591</v>
      </c>
      <c r="G130" s="5" t="s">
        <v>160</v>
      </c>
      <c r="H130" s="5" t="s">
        <v>383</v>
      </c>
      <c r="I130" s="3">
        <v>4980</v>
      </c>
      <c r="J130" s="5" t="s">
        <v>598</v>
      </c>
      <c r="K130" s="6">
        <v>45722</v>
      </c>
      <c r="L130" s="6">
        <v>46022</v>
      </c>
      <c r="M130" s="5" t="str">
        <f>[1]Звіт!C128</f>
        <v>Виконано</v>
      </c>
    </row>
    <row r="131" spans="1:13" s="2" customFormat="1" ht="51.75" x14ac:dyDescent="0.25">
      <c r="A131" s="3">
        <v>127</v>
      </c>
      <c r="B131" s="4" t="str">
        <f>HYPERLINK("https://my.zakupivli.pro/remote/dispatcher/state_purchase_view/57908846", "UA-2025-03-06-002503-a")</f>
        <v>UA-2025-03-06-002503-a</v>
      </c>
      <c r="C131" s="5" t="s">
        <v>493</v>
      </c>
      <c r="D131" s="5" t="s">
        <v>10</v>
      </c>
      <c r="E131" s="5" t="s">
        <v>506</v>
      </c>
      <c r="F131" s="5" t="s">
        <v>591</v>
      </c>
      <c r="G131" s="5" t="s">
        <v>160</v>
      </c>
      <c r="H131" s="5" t="s">
        <v>385</v>
      </c>
      <c r="I131" s="3">
        <v>4464</v>
      </c>
      <c r="J131" s="5" t="s">
        <v>598</v>
      </c>
      <c r="K131" s="6">
        <v>45722</v>
      </c>
      <c r="L131" s="6">
        <v>46022</v>
      </c>
      <c r="M131" s="5" t="str">
        <f>[1]Звіт!C129</f>
        <v>Виконано</v>
      </c>
    </row>
    <row r="132" spans="1:13" s="2" customFormat="1" ht="39" x14ac:dyDescent="0.25">
      <c r="A132" s="3">
        <v>128</v>
      </c>
      <c r="B132" s="4" t="str">
        <f>HYPERLINK("https://my.zakupivli.pro/remote/dispatcher/state_purchase_view/58596230", "UA-2025-04-07-009589-a")</f>
        <v>UA-2025-04-07-009589-a</v>
      </c>
      <c r="C132" s="5" t="s">
        <v>488</v>
      </c>
      <c r="D132" s="5" t="s">
        <v>90</v>
      </c>
      <c r="E132" s="5" t="s">
        <v>506</v>
      </c>
      <c r="F132" s="5" t="s">
        <v>591</v>
      </c>
      <c r="G132" s="5" t="s">
        <v>160</v>
      </c>
      <c r="H132" s="5" t="s">
        <v>448</v>
      </c>
      <c r="I132" s="3">
        <v>1300</v>
      </c>
      <c r="J132" s="5" t="s">
        <v>598</v>
      </c>
      <c r="K132" s="6">
        <v>45754</v>
      </c>
      <c r="L132" s="6">
        <v>46022</v>
      </c>
      <c r="M132" s="5" t="str">
        <f>[1]Звіт!C130</f>
        <v>Виконано</v>
      </c>
    </row>
    <row r="133" spans="1:13" s="2" customFormat="1" ht="26.25" x14ac:dyDescent="0.25">
      <c r="A133" s="3">
        <v>129</v>
      </c>
      <c r="B133" s="4" t="str">
        <f>HYPERLINK("https://my.zakupivli.pro/remote/dispatcher/state_purchase_view/59440870", "UA-2025-05-15-003344-a")</f>
        <v>UA-2025-05-15-003344-a</v>
      </c>
      <c r="C133" s="5" t="s">
        <v>859</v>
      </c>
      <c r="D133" s="5" t="s">
        <v>354</v>
      </c>
      <c r="E133" s="5" t="s">
        <v>506</v>
      </c>
      <c r="F133" s="5" t="s">
        <v>525</v>
      </c>
      <c r="G133" s="5" t="s">
        <v>205</v>
      </c>
      <c r="H133" s="5" t="s">
        <v>47</v>
      </c>
      <c r="I133" s="3">
        <v>252</v>
      </c>
      <c r="J133" s="5" t="s">
        <v>598</v>
      </c>
      <c r="K133" s="6">
        <v>45792</v>
      </c>
      <c r="L133" s="6">
        <v>46022</v>
      </c>
      <c r="M133" s="5" t="str">
        <f>[1]Звіт!C131</f>
        <v>Виконано</v>
      </c>
    </row>
    <row r="134" spans="1:13" s="2" customFormat="1" ht="26.25" x14ac:dyDescent="0.25">
      <c r="A134" s="3">
        <v>130</v>
      </c>
      <c r="B134" s="4" t="str">
        <f>HYPERLINK("https://my.zakupivli.pro/remote/dispatcher/state_purchase_view/59441451", "UA-2025-05-15-003593-a")</f>
        <v>UA-2025-05-15-003593-a</v>
      </c>
      <c r="C134" s="5" t="s">
        <v>832</v>
      </c>
      <c r="D134" s="5" t="s">
        <v>185</v>
      </c>
      <c r="E134" s="5" t="s">
        <v>506</v>
      </c>
      <c r="F134" s="5" t="s">
        <v>525</v>
      </c>
      <c r="G134" s="5" t="s">
        <v>205</v>
      </c>
      <c r="H134" s="5" t="s">
        <v>47</v>
      </c>
      <c r="I134" s="3">
        <v>1134</v>
      </c>
      <c r="J134" s="5" t="s">
        <v>598</v>
      </c>
      <c r="K134" s="6">
        <v>45792</v>
      </c>
      <c r="L134" s="6">
        <v>46022</v>
      </c>
      <c r="M134" s="5" t="str">
        <f>[1]Звіт!C132</f>
        <v>Виконано</v>
      </c>
    </row>
    <row r="135" spans="1:13" s="2" customFormat="1" ht="26.25" x14ac:dyDescent="0.25">
      <c r="A135" s="3">
        <v>131</v>
      </c>
      <c r="B135" s="4" t="str">
        <f>HYPERLINK("https://my.zakupivli.pro/remote/dispatcher/state_purchase_view/58410439", "UA-2025-03-28-004571-a")</f>
        <v>UA-2025-03-28-004571-a</v>
      </c>
      <c r="C135" s="5" t="s">
        <v>754</v>
      </c>
      <c r="D135" s="5" t="s">
        <v>354</v>
      </c>
      <c r="E135" s="5" t="s">
        <v>506</v>
      </c>
      <c r="F135" s="5" t="s">
        <v>525</v>
      </c>
      <c r="G135" s="5" t="s">
        <v>205</v>
      </c>
      <c r="H135" s="5" t="s">
        <v>421</v>
      </c>
      <c r="I135" s="3">
        <v>1462</v>
      </c>
      <c r="J135" s="5" t="s">
        <v>598</v>
      </c>
      <c r="K135" s="6">
        <v>45744</v>
      </c>
      <c r="L135" s="6">
        <v>46022</v>
      </c>
      <c r="M135" s="5" t="str">
        <f>[1]Звіт!C133</f>
        <v>Виконано</v>
      </c>
    </row>
    <row r="136" spans="1:13" s="2" customFormat="1" ht="26.25" x14ac:dyDescent="0.25">
      <c r="A136" s="3">
        <v>132</v>
      </c>
      <c r="B136" s="4" t="str">
        <f>HYPERLINK("https://my.zakupivli.pro/remote/dispatcher/state_purchase_view/58126828", "UA-2025-03-17-003746-a")</f>
        <v>UA-2025-03-17-003746-a</v>
      </c>
      <c r="C136" s="5" t="s">
        <v>794</v>
      </c>
      <c r="D136" s="5" t="s">
        <v>352</v>
      </c>
      <c r="E136" s="5" t="s">
        <v>506</v>
      </c>
      <c r="F136" s="5" t="s">
        <v>525</v>
      </c>
      <c r="G136" s="5" t="s">
        <v>205</v>
      </c>
      <c r="H136" s="5" t="s">
        <v>394</v>
      </c>
      <c r="I136" s="3">
        <v>770</v>
      </c>
      <c r="J136" s="5" t="s">
        <v>598</v>
      </c>
      <c r="K136" s="6">
        <v>45733</v>
      </c>
      <c r="L136" s="6">
        <v>46022</v>
      </c>
      <c r="M136" s="5" t="str">
        <f>[1]Звіт!C134</f>
        <v>Виконано</v>
      </c>
    </row>
    <row r="137" spans="1:13" s="2" customFormat="1" ht="26.25" x14ac:dyDescent="0.25">
      <c r="A137" s="3">
        <v>133</v>
      </c>
      <c r="B137" s="4" t="str">
        <f>HYPERLINK("https://my.zakupivli.pro/remote/dispatcher/state_purchase_view/58129748", "UA-2025-03-17-005060-a")</f>
        <v>UA-2025-03-17-005060-a</v>
      </c>
      <c r="C137" s="5" t="s">
        <v>756</v>
      </c>
      <c r="D137" s="5" t="s">
        <v>342</v>
      </c>
      <c r="E137" s="5" t="s">
        <v>506</v>
      </c>
      <c r="F137" s="5" t="s">
        <v>514</v>
      </c>
      <c r="G137" s="5" t="s">
        <v>173</v>
      </c>
      <c r="H137" s="5" t="s">
        <v>397</v>
      </c>
      <c r="I137" s="3">
        <v>930</v>
      </c>
      <c r="J137" s="5" t="s">
        <v>598</v>
      </c>
      <c r="K137" s="6">
        <v>45733</v>
      </c>
      <c r="L137" s="6">
        <v>46022</v>
      </c>
      <c r="M137" s="5" t="str">
        <f>[1]Звіт!C135</f>
        <v>Виконано</v>
      </c>
    </row>
    <row r="138" spans="1:13" s="2" customFormat="1" ht="51.75" x14ac:dyDescent="0.25">
      <c r="A138" s="3">
        <v>134</v>
      </c>
      <c r="B138" s="4" t="str">
        <f>HYPERLINK("https://my.zakupivli.pro/remote/dispatcher/state_purchase_view/58416428", "UA-2025-03-28-007791-a")</f>
        <v>UA-2025-03-28-007791-a</v>
      </c>
      <c r="C138" s="5" t="s">
        <v>471</v>
      </c>
      <c r="D138" s="5" t="s">
        <v>356</v>
      </c>
      <c r="E138" s="5" t="s">
        <v>506</v>
      </c>
      <c r="F138" s="5" t="s">
        <v>701</v>
      </c>
      <c r="G138" s="5" t="s">
        <v>171</v>
      </c>
      <c r="H138" s="5" t="s">
        <v>426</v>
      </c>
      <c r="I138" s="3">
        <v>4200</v>
      </c>
      <c r="J138" s="5" t="s">
        <v>705</v>
      </c>
      <c r="K138" s="6">
        <v>45744</v>
      </c>
      <c r="L138" s="6">
        <v>46022</v>
      </c>
      <c r="M138" s="5" t="str">
        <f>[1]Звіт!C136</f>
        <v>Виконано</v>
      </c>
    </row>
    <row r="139" spans="1:13" s="2" customFormat="1" ht="51.75" x14ac:dyDescent="0.25">
      <c r="A139" s="3">
        <v>135</v>
      </c>
      <c r="B139" s="4" t="str">
        <f>HYPERLINK("https://my.zakupivli.pro/remote/dispatcher/state_purchase_view/58982652", "UA-2025-04-25-000470-a")</f>
        <v>UA-2025-04-25-000470-a</v>
      </c>
      <c r="C139" s="5" t="s">
        <v>639</v>
      </c>
      <c r="D139" s="5" t="s">
        <v>377</v>
      </c>
      <c r="E139" s="5" t="s">
        <v>506</v>
      </c>
      <c r="F139" s="5" t="s">
        <v>714</v>
      </c>
      <c r="G139" s="5" t="s">
        <v>319</v>
      </c>
      <c r="H139" s="5" t="s">
        <v>297</v>
      </c>
      <c r="I139" s="7">
        <v>656.6</v>
      </c>
      <c r="J139" s="5" t="s">
        <v>705</v>
      </c>
      <c r="K139" s="6">
        <v>45772</v>
      </c>
      <c r="L139" s="6">
        <v>46022</v>
      </c>
      <c r="M139" s="5" t="str">
        <f>[1]Звіт!C137</f>
        <v>Виконано</v>
      </c>
    </row>
    <row r="140" spans="1:13" s="2" customFormat="1" ht="64.5" x14ac:dyDescent="0.25">
      <c r="A140" s="3">
        <v>136</v>
      </c>
      <c r="B140" s="4" t="str">
        <f>HYPERLINK("https://my.zakupivli.pro/remote/dispatcher/state_purchase_view/59305190", "UA-2025-05-09-001113-a")</f>
        <v>UA-2025-05-09-001113-a</v>
      </c>
      <c r="C140" s="5" t="s">
        <v>498</v>
      </c>
      <c r="D140" s="5" t="s">
        <v>427</v>
      </c>
      <c r="E140" s="5" t="s">
        <v>506</v>
      </c>
      <c r="F140" s="5" t="s">
        <v>689</v>
      </c>
      <c r="G140" s="5" t="s">
        <v>330</v>
      </c>
      <c r="H140" s="5" t="s">
        <v>43</v>
      </c>
      <c r="I140" s="3">
        <v>6699</v>
      </c>
      <c r="J140" s="5" t="s">
        <v>598</v>
      </c>
      <c r="K140" s="6">
        <v>45786</v>
      </c>
      <c r="L140" s="6">
        <v>46022</v>
      </c>
      <c r="M140" s="5" t="str">
        <f>[1]Звіт!C138</f>
        <v>Виконано</v>
      </c>
    </row>
    <row r="141" spans="1:13" s="2" customFormat="1" ht="51.75" x14ac:dyDescent="0.25">
      <c r="A141" s="3">
        <v>137</v>
      </c>
      <c r="B141" s="4" t="str">
        <f>HYPERLINK("https://my.zakupivli.pro/remote/dispatcher/state_purchase_view/56940450", "UA-2025-01-27-012109-a")</f>
        <v>UA-2025-01-27-012109-a</v>
      </c>
      <c r="C141" s="5" t="s">
        <v>234</v>
      </c>
      <c r="D141" s="5" t="s">
        <v>234</v>
      </c>
      <c r="E141" s="5" t="s">
        <v>506</v>
      </c>
      <c r="F141" s="5" t="s">
        <v>696</v>
      </c>
      <c r="G141" s="5" t="s">
        <v>275</v>
      </c>
      <c r="H141" s="5" t="s">
        <v>19</v>
      </c>
      <c r="I141" s="7">
        <v>542.52</v>
      </c>
      <c r="J141" s="5" t="s">
        <v>705</v>
      </c>
      <c r="K141" s="6">
        <v>45684</v>
      </c>
      <c r="L141" s="6">
        <v>46022</v>
      </c>
      <c r="M141" s="5" t="str">
        <f>[1]Звіт!C139</f>
        <v>Виконано</v>
      </c>
    </row>
    <row r="142" spans="1:13" s="2" customFormat="1" ht="77.25" x14ac:dyDescent="0.25">
      <c r="A142" s="3">
        <v>138</v>
      </c>
      <c r="B142" s="4" t="str">
        <f>HYPERLINK("https://my.zakupivli.pro/remote/dispatcher/state_purchase_view/57317206", "UA-2025-02-10-001020-a")</f>
        <v>UA-2025-02-10-001020-a</v>
      </c>
      <c r="C142" s="5" t="s">
        <v>475</v>
      </c>
      <c r="D142" s="5" t="s">
        <v>407</v>
      </c>
      <c r="E142" s="5" t="s">
        <v>506</v>
      </c>
      <c r="F142" s="5" t="s">
        <v>486</v>
      </c>
      <c r="G142" s="5" t="s">
        <v>294</v>
      </c>
      <c r="H142" s="5" t="s">
        <v>277</v>
      </c>
      <c r="I142" s="7">
        <v>1535.33</v>
      </c>
      <c r="J142" s="5" t="s">
        <v>705</v>
      </c>
      <c r="K142" s="6">
        <v>45698</v>
      </c>
      <c r="L142" s="6">
        <v>46022</v>
      </c>
      <c r="M142" s="5" t="str">
        <f>[1]Звіт!C140</f>
        <v>Виконано</v>
      </c>
    </row>
    <row r="143" spans="1:13" s="2" customFormat="1" ht="26.25" x14ac:dyDescent="0.25">
      <c r="A143" s="3">
        <v>139</v>
      </c>
      <c r="B143" s="4" t="str">
        <f>HYPERLINK("https://my.zakupivli.pro/remote/dispatcher/state_purchase_view/58334799", "UA-2025-03-25-009942-a")</f>
        <v>UA-2025-03-25-009942-a</v>
      </c>
      <c r="C143" s="5" t="s">
        <v>11</v>
      </c>
      <c r="D143" s="5" t="s">
        <v>12</v>
      </c>
      <c r="E143" s="5" t="s">
        <v>506</v>
      </c>
      <c r="F143" s="5" t="s">
        <v>591</v>
      </c>
      <c r="G143" s="5" t="s">
        <v>160</v>
      </c>
      <c r="H143" s="5" t="s">
        <v>416</v>
      </c>
      <c r="I143" s="3">
        <v>20800</v>
      </c>
      <c r="J143" s="5" t="s">
        <v>598</v>
      </c>
      <c r="K143" s="6">
        <v>45741</v>
      </c>
      <c r="L143" s="6">
        <v>46022</v>
      </c>
      <c r="M143" s="5" t="str">
        <f>[1]Звіт!C141</f>
        <v>Виконано</v>
      </c>
    </row>
    <row r="144" spans="1:13" s="2" customFormat="1" ht="26.25" x14ac:dyDescent="0.25">
      <c r="A144" s="3">
        <v>140</v>
      </c>
      <c r="B144" s="4" t="str">
        <f>HYPERLINK("https://my.zakupivli.pro/remote/dispatcher/state_purchase_view/58187305", "UA-2025-03-19-002092-a")</f>
        <v>UA-2025-03-19-002092-a</v>
      </c>
      <c r="C144" s="5" t="s">
        <v>517</v>
      </c>
      <c r="D144" s="5" t="s">
        <v>213</v>
      </c>
      <c r="E144" s="5" t="s">
        <v>506</v>
      </c>
      <c r="F144" s="5" t="s">
        <v>722</v>
      </c>
      <c r="G144" s="5" t="s">
        <v>218</v>
      </c>
      <c r="H144" s="5" t="s">
        <v>363</v>
      </c>
      <c r="I144" s="3">
        <v>58862</v>
      </c>
      <c r="J144" s="5" t="s">
        <v>598</v>
      </c>
      <c r="K144" s="6">
        <v>45735</v>
      </c>
      <c r="L144" s="6">
        <v>46022</v>
      </c>
      <c r="M144" s="5" t="str">
        <f>[1]Звіт!C142</f>
        <v>Виконано</v>
      </c>
    </row>
    <row r="145" spans="1:13" s="2" customFormat="1" ht="51.75" x14ac:dyDescent="0.25">
      <c r="A145" s="3">
        <v>141</v>
      </c>
      <c r="B145" s="4" t="str">
        <f>HYPERLINK("https://my.zakupivli.pro/remote/dispatcher/state_purchase_view/58221934", "UA-2025-03-20-002852-a")</f>
        <v>UA-2025-03-20-002852-a</v>
      </c>
      <c r="C145" s="5" t="s">
        <v>646</v>
      </c>
      <c r="D145" s="5" t="s">
        <v>427</v>
      </c>
      <c r="E145" s="5" t="s">
        <v>506</v>
      </c>
      <c r="F145" s="5" t="s">
        <v>699</v>
      </c>
      <c r="G145" s="5" t="s">
        <v>152</v>
      </c>
      <c r="H145" s="5" t="s">
        <v>27</v>
      </c>
      <c r="I145" s="3">
        <v>1740</v>
      </c>
      <c r="J145" s="5" t="s">
        <v>598</v>
      </c>
      <c r="K145" s="6">
        <v>45736</v>
      </c>
      <c r="L145" s="6">
        <v>46022</v>
      </c>
      <c r="M145" s="5" t="str">
        <f>[1]Звіт!C143</f>
        <v>Виконано</v>
      </c>
    </row>
    <row r="146" spans="1:13" s="2" customFormat="1" ht="26.25" x14ac:dyDescent="0.25">
      <c r="A146" s="3">
        <v>142</v>
      </c>
      <c r="B146" s="4" t="str">
        <f>HYPERLINK("https://my.zakupivli.pro/remote/dispatcher/state_purchase_view/58909587", "UA-2025-04-22-005509-a")</f>
        <v>UA-2025-04-22-005509-a</v>
      </c>
      <c r="C146" s="5" t="s">
        <v>817</v>
      </c>
      <c r="D146" s="5" t="s">
        <v>345</v>
      </c>
      <c r="E146" s="5" t="s">
        <v>506</v>
      </c>
      <c r="F146" s="5" t="s">
        <v>660</v>
      </c>
      <c r="G146" s="5" t="s">
        <v>162</v>
      </c>
      <c r="H146" s="5" t="s">
        <v>29</v>
      </c>
      <c r="I146" s="3">
        <v>6805</v>
      </c>
      <c r="J146" s="5" t="s">
        <v>598</v>
      </c>
      <c r="K146" s="6">
        <v>45769</v>
      </c>
      <c r="L146" s="6">
        <v>46022</v>
      </c>
      <c r="M146" s="5" t="str">
        <f>[1]Звіт!C144</f>
        <v>Виконано</v>
      </c>
    </row>
    <row r="147" spans="1:13" s="2" customFormat="1" ht="26.25" x14ac:dyDescent="0.25">
      <c r="A147" s="3">
        <v>143</v>
      </c>
      <c r="B147" s="4" t="str">
        <f>HYPERLINK("https://my.zakupivli.pro/remote/dispatcher/state_purchase_view/58580081", "UA-2025-04-07-002366-a")</f>
        <v>UA-2025-04-07-002366-a</v>
      </c>
      <c r="C147" s="5" t="s">
        <v>532</v>
      </c>
      <c r="D147" s="5" t="s">
        <v>360</v>
      </c>
      <c r="E147" s="5" t="s">
        <v>506</v>
      </c>
      <c r="F147" s="5" t="s">
        <v>514</v>
      </c>
      <c r="G147" s="5" t="s">
        <v>173</v>
      </c>
      <c r="H147" s="5" t="s">
        <v>440</v>
      </c>
      <c r="I147" s="3">
        <v>1250</v>
      </c>
      <c r="J147" s="5" t="s">
        <v>598</v>
      </c>
      <c r="K147" s="6">
        <v>45754</v>
      </c>
      <c r="L147" s="6">
        <v>46022</v>
      </c>
      <c r="M147" s="5" t="str">
        <f>[1]Звіт!C145</f>
        <v>Виконано</v>
      </c>
    </row>
    <row r="148" spans="1:13" s="2" customFormat="1" ht="51.75" x14ac:dyDescent="0.25">
      <c r="A148" s="3">
        <v>144</v>
      </c>
      <c r="B148" s="4" t="str">
        <f>HYPERLINK("https://my.zakupivli.pro/remote/dispatcher/state_purchase_view/58588241", "UA-2025-04-07-006056-a")</f>
        <v>UA-2025-04-07-006056-a</v>
      </c>
      <c r="C148" s="5" t="s">
        <v>797</v>
      </c>
      <c r="D148" s="5" t="s">
        <v>306</v>
      </c>
      <c r="E148" s="5" t="s">
        <v>506</v>
      </c>
      <c r="F148" s="5" t="s">
        <v>525</v>
      </c>
      <c r="G148" s="5" t="s">
        <v>205</v>
      </c>
      <c r="H148" s="5" t="s">
        <v>445</v>
      </c>
      <c r="I148" s="3">
        <v>204</v>
      </c>
      <c r="J148" s="5" t="s">
        <v>598</v>
      </c>
      <c r="K148" s="6">
        <v>45754</v>
      </c>
      <c r="L148" s="6">
        <v>46022</v>
      </c>
      <c r="M148" s="5" t="str">
        <f>[1]Звіт!C146</f>
        <v>Виконано</v>
      </c>
    </row>
    <row r="149" spans="1:13" s="2" customFormat="1" ht="26.25" x14ac:dyDescent="0.25">
      <c r="A149" s="3">
        <v>145</v>
      </c>
      <c r="B149" s="4" t="str">
        <f>HYPERLINK("https://my.zakupivli.pro/remote/dispatcher/state_purchase_view/60023346", "UA-2025-06-11-004875-a")</f>
        <v>UA-2025-06-11-004875-a</v>
      </c>
      <c r="C149" s="5" t="s">
        <v>855</v>
      </c>
      <c r="D149" s="5" t="s">
        <v>360</v>
      </c>
      <c r="E149" s="5" t="s">
        <v>506</v>
      </c>
      <c r="F149" s="5" t="s">
        <v>525</v>
      </c>
      <c r="G149" s="5" t="s">
        <v>205</v>
      </c>
      <c r="H149" s="5" t="s">
        <v>66</v>
      </c>
      <c r="I149" s="3">
        <v>465</v>
      </c>
      <c r="J149" s="5" t="s">
        <v>598</v>
      </c>
      <c r="K149" s="6">
        <v>45819</v>
      </c>
      <c r="L149" s="6">
        <v>46022</v>
      </c>
      <c r="M149" s="5" t="str">
        <f>[1]Звіт!C147</f>
        <v>Виконано</v>
      </c>
    </row>
    <row r="150" spans="1:13" s="2" customFormat="1" ht="26.25" x14ac:dyDescent="0.25">
      <c r="A150" s="3">
        <v>146</v>
      </c>
      <c r="B150" s="4" t="str">
        <f>HYPERLINK("https://my.zakupivli.pro/remote/dispatcher/state_purchase_view/60023855", "UA-2025-06-11-005100-a")</f>
        <v>UA-2025-06-11-005100-a</v>
      </c>
      <c r="C150" s="5" t="s">
        <v>766</v>
      </c>
      <c r="D150" s="5" t="s">
        <v>185</v>
      </c>
      <c r="E150" s="5" t="s">
        <v>506</v>
      </c>
      <c r="F150" s="5" t="s">
        <v>525</v>
      </c>
      <c r="G150" s="5" t="s">
        <v>205</v>
      </c>
      <c r="H150" s="5" t="s">
        <v>66</v>
      </c>
      <c r="I150" s="3">
        <v>1110</v>
      </c>
      <c r="J150" s="5" t="s">
        <v>598</v>
      </c>
      <c r="K150" s="6">
        <v>45819</v>
      </c>
      <c r="L150" s="6">
        <v>46022</v>
      </c>
      <c r="M150" s="5" t="str">
        <f>[1]Звіт!C148</f>
        <v>Виконано</v>
      </c>
    </row>
    <row r="151" spans="1:13" s="2" customFormat="1" ht="51.75" x14ac:dyDescent="0.25">
      <c r="A151" s="3">
        <v>147</v>
      </c>
      <c r="B151" s="4" t="str">
        <f>HYPERLINK("https://my.zakupivli.pro/remote/dispatcher/state_purchase_view/56657939", "UA-2025-01-17-011698-a")</f>
        <v>UA-2025-01-17-011698-a</v>
      </c>
      <c r="C151" s="5" t="s">
        <v>477</v>
      </c>
      <c r="D151" s="5" t="s">
        <v>322</v>
      </c>
      <c r="E151" s="5" t="s">
        <v>506</v>
      </c>
      <c r="F151" s="5" t="s">
        <v>701</v>
      </c>
      <c r="G151" s="5" t="s">
        <v>171</v>
      </c>
      <c r="H151" s="5" t="s">
        <v>119</v>
      </c>
      <c r="I151" s="3">
        <v>16200</v>
      </c>
      <c r="J151" s="5" t="s">
        <v>705</v>
      </c>
      <c r="K151" s="6">
        <v>45673</v>
      </c>
      <c r="L151" s="6">
        <v>46022</v>
      </c>
      <c r="M151" s="5" t="str">
        <f>[1]Звіт!C149</f>
        <v>Виконано</v>
      </c>
    </row>
    <row r="152" spans="1:13" s="2" customFormat="1" ht="39" x14ac:dyDescent="0.25">
      <c r="A152" s="3">
        <v>148</v>
      </c>
      <c r="B152" s="4" t="str">
        <f>HYPERLINK("https://my.zakupivli.pro/remote/dispatcher/state_purchase_view/56836332", "UA-2025-01-23-006516-a")</f>
        <v>UA-2025-01-23-006516-a</v>
      </c>
      <c r="C152" s="5" t="s">
        <v>534</v>
      </c>
      <c r="D152" s="5" t="s">
        <v>85</v>
      </c>
      <c r="E152" s="5" t="s">
        <v>506</v>
      </c>
      <c r="F152" s="5" t="s">
        <v>591</v>
      </c>
      <c r="G152" s="5" t="s">
        <v>160</v>
      </c>
      <c r="H152" s="5" t="s">
        <v>187</v>
      </c>
      <c r="I152" s="3">
        <v>2940</v>
      </c>
      <c r="J152" s="5" t="s">
        <v>705</v>
      </c>
      <c r="K152" s="6">
        <v>45680</v>
      </c>
      <c r="L152" s="6">
        <v>46022</v>
      </c>
      <c r="M152" s="5" t="str">
        <f>[1]Звіт!C150</f>
        <v>Виконано</v>
      </c>
    </row>
    <row r="153" spans="1:13" s="2" customFormat="1" ht="26.25" x14ac:dyDescent="0.25">
      <c r="A153" s="3">
        <v>149</v>
      </c>
      <c r="B153" s="4" t="str">
        <f>HYPERLINK("https://my.zakupivli.pro/remote/dispatcher/state_purchase_view/60970204", "UA-2025-07-29-002025-a")</f>
        <v>UA-2025-07-29-002025-a</v>
      </c>
      <c r="C153" s="5" t="s">
        <v>743</v>
      </c>
      <c r="D153" s="5" t="s">
        <v>362</v>
      </c>
      <c r="E153" s="5" t="s">
        <v>506</v>
      </c>
      <c r="F153" s="5" t="s">
        <v>466</v>
      </c>
      <c r="G153" s="5" t="s">
        <v>206</v>
      </c>
      <c r="H153" s="5" t="s">
        <v>116</v>
      </c>
      <c r="I153" s="3">
        <v>85</v>
      </c>
      <c r="J153" s="5" t="s">
        <v>598</v>
      </c>
      <c r="K153" s="6">
        <v>45867</v>
      </c>
      <c r="L153" s="6">
        <v>46022</v>
      </c>
      <c r="M153" s="5" t="str">
        <f>[1]Звіт!C151</f>
        <v>Виконано</v>
      </c>
    </row>
    <row r="154" spans="1:13" s="2" customFormat="1" ht="102.75" x14ac:dyDescent="0.25">
      <c r="A154" s="3">
        <v>150</v>
      </c>
      <c r="B154" s="4" t="str">
        <f>HYPERLINK("https://my.zakupivli.pro/remote/dispatcher/state_purchase_view/60972093", "UA-2025-07-29-002955-a")</f>
        <v>UA-2025-07-29-002955-a</v>
      </c>
      <c r="C154" s="5" t="s">
        <v>634</v>
      </c>
      <c r="D154" s="5" t="s">
        <v>417</v>
      </c>
      <c r="E154" s="5" t="s">
        <v>506</v>
      </c>
      <c r="F154" s="5" t="s">
        <v>485</v>
      </c>
      <c r="G154" s="5" t="s">
        <v>247</v>
      </c>
      <c r="H154" s="5" t="s">
        <v>117</v>
      </c>
      <c r="I154" s="7">
        <v>16455.47</v>
      </c>
      <c r="J154" s="5" t="s">
        <v>598</v>
      </c>
      <c r="K154" s="6">
        <v>45867</v>
      </c>
      <c r="L154" s="6">
        <v>46022</v>
      </c>
      <c r="M154" s="5" t="str">
        <f>[1]Звіт!C152</f>
        <v>Виконано</v>
      </c>
    </row>
    <row r="155" spans="1:13" s="2" customFormat="1" ht="26.25" x14ac:dyDescent="0.25">
      <c r="A155" s="3">
        <v>151</v>
      </c>
      <c r="B155" s="4" t="str">
        <f>HYPERLINK("https://my.zakupivli.pro/remote/dispatcher/state_purchase_view/60332009", "UA-2025-06-25-003332-a")</f>
        <v>UA-2025-06-25-003332-a</v>
      </c>
      <c r="C155" s="5" t="s">
        <v>771</v>
      </c>
      <c r="D155" s="5" t="s">
        <v>359</v>
      </c>
      <c r="E155" s="5" t="s">
        <v>506</v>
      </c>
      <c r="F155" s="5" t="s">
        <v>514</v>
      </c>
      <c r="G155" s="5" t="s">
        <v>173</v>
      </c>
      <c r="H155" s="5" t="s">
        <v>78</v>
      </c>
      <c r="I155" s="3">
        <v>500</v>
      </c>
      <c r="J155" s="5" t="s">
        <v>598</v>
      </c>
      <c r="K155" s="6">
        <v>45833</v>
      </c>
      <c r="L155" s="6">
        <v>46022</v>
      </c>
      <c r="M155" s="5" t="str">
        <f>[1]Звіт!C153</f>
        <v>Виконано</v>
      </c>
    </row>
    <row r="156" spans="1:13" s="2" customFormat="1" ht="39" x14ac:dyDescent="0.25">
      <c r="A156" s="3">
        <v>152</v>
      </c>
      <c r="B156" s="4" t="str">
        <f>HYPERLINK("https://my.zakupivli.pro/remote/dispatcher/state_purchase_view/60328677", "UA-2025-06-25-001973-a")</f>
        <v>UA-2025-06-25-001973-a</v>
      </c>
      <c r="C156" s="5" t="s">
        <v>775</v>
      </c>
      <c r="D156" s="5" t="s">
        <v>329</v>
      </c>
      <c r="E156" s="5" t="s">
        <v>506</v>
      </c>
      <c r="F156" s="5" t="s">
        <v>466</v>
      </c>
      <c r="G156" s="5" t="s">
        <v>206</v>
      </c>
      <c r="H156" s="5" t="s">
        <v>75</v>
      </c>
      <c r="I156" s="3">
        <v>1795</v>
      </c>
      <c r="J156" s="5" t="s">
        <v>598</v>
      </c>
      <c r="K156" s="6">
        <v>45833</v>
      </c>
      <c r="L156" s="6">
        <v>46022</v>
      </c>
      <c r="M156" s="5" t="str">
        <f>[1]Звіт!C154</f>
        <v>Виконано</v>
      </c>
    </row>
    <row r="157" spans="1:13" s="2" customFormat="1" ht="26.25" x14ac:dyDescent="0.25">
      <c r="A157" s="3">
        <v>153</v>
      </c>
      <c r="B157" s="4" t="str">
        <f>HYPERLINK("https://my.zakupivli.pro/remote/dispatcher/state_purchase_view/60329222", "UA-2025-06-25-002224-a")</f>
        <v>UA-2025-06-25-002224-a</v>
      </c>
      <c r="C157" s="5" t="s">
        <v>755</v>
      </c>
      <c r="D157" s="5" t="s">
        <v>359</v>
      </c>
      <c r="E157" s="5" t="s">
        <v>506</v>
      </c>
      <c r="F157" s="5" t="s">
        <v>466</v>
      </c>
      <c r="G157" s="5" t="s">
        <v>206</v>
      </c>
      <c r="H157" s="5" t="s">
        <v>74</v>
      </c>
      <c r="I157" s="3">
        <v>1038</v>
      </c>
      <c r="J157" s="5" t="s">
        <v>598</v>
      </c>
      <c r="K157" s="6">
        <v>45833</v>
      </c>
      <c r="L157" s="6">
        <v>46022</v>
      </c>
      <c r="M157" s="5" t="str">
        <f>[1]Звіт!C155</f>
        <v>Виконано</v>
      </c>
    </row>
    <row r="158" spans="1:13" s="2" customFormat="1" ht="26.25" x14ac:dyDescent="0.25">
      <c r="A158" s="3">
        <v>154</v>
      </c>
      <c r="B158" s="4" t="str">
        <f>HYPERLINK("https://my.zakupivli.pro/remote/dispatcher/state_purchase_view/60331023", "UA-2025-06-25-002936-a")</f>
        <v>UA-2025-06-25-002936-a</v>
      </c>
      <c r="C158" s="5" t="s">
        <v>743</v>
      </c>
      <c r="D158" s="5" t="s">
        <v>362</v>
      </c>
      <c r="E158" s="5" t="s">
        <v>506</v>
      </c>
      <c r="F158" s="5" t="s">
        <v>466</v>
      </c>
      <c r="G158" s="5" t="s">
        <v>206</v>
      </c>
      <c r="H158" s="5" t="s">
        <v>74</v>
      </c>
      <c r="I158" s="3">
        <v>138</v>
      </c>
      <c r="J158" s="5" t="s">
        <v>598</v>
      </c>
      <c r="K158" s="6">
        <v>45833</v>
      </c>
      <c r="L158" s="6">
        <v>46022</v>
      </c>
      <c r="M158" s="5" t="str">
        <f>[1]Звіт!C156</f>
        <v>Виконано</v>
      </c>
    </row>
    <row r="159" spans="1:13" s="2" customFormat="1" ht="90" x14ac:dyDescent="0.25">
      <c r="A159" s="3">
        <v>155</v>
      </c>
      <c r="B159" s="4" t="str">
        <f>HYPERLINK("https://my.zakupivli.pro/remote/dispatcher/state_purchase_view/60342139", "UA-2025-06-25-007959-a")</f>
        <v>UA-2025-06-25-007959-a</v>
      </c>
      <c r="C159" s="5" t="s">
        <v>821</v>
      </c>
      <c r="D159" s="5" t="s">
        <v>278</v>
      </c>
      <c r="E159" s="5" t="s">
        <v>506</v>
      </c>
      <c r="F159" s="5" t="s">
        <v>473</v>
      </c>
      <c r="G159" s="5" t="s">
        <v>138</v>
      </c>
      <c r="H159" s="5" t="s">
        <v>80</v>
      </c>
      <c r="I159" s="7">
        <v>11229.66</v>
      </c>
      <c r="J159" s="5" t="s">
        <v>705</v>
      </c>
      <c r="K159" s="6">
        <v>45833</v>
      </c>
      <c r="L159" s="6">
        <v>46022</v>
      </c>
      <c r="M159" s="5" t="str">
        <f>[1]Звіт!C157</f>
        <v>Виконано</v>
      </c>
    </row>
    <row r="160" spans="1:13" s="2" customFormat="1" ht="26.25" x14ac:dyDescent="0.25">
      <c r="A160" s="3">
        <v>156</v>
      </c>
      <c r="B160" s="4" t="str">
        <f>HYPERLINK("https://my.zakupivli.pro/remote/dispatcher/state_purchase_view/60828249", "UA-2025-07-21-007365-a")</f>
        <v>UA-2025-07-21-007365-a</v>
      </c>
      <c r="C160" s="5" t="s">
        <v>791</v>
      </c>
      <c r="D160" s="5" t="s">
        <v>342</v>
      </c>
      <c r="E160" s="5" t="s">
        <v>506</v>
      </c>
      <c r="F160" s="5" t="s">
        <v>514</v>
      </c>
      <c r="G160" s="5" t="s">
        <v>173</v>
      </c>
      <c r="H160" s="5" t="s">
        <v>107</v>
      </c>
      <c r="I160" s="3">
        <v>7174</v>
      </c>
      <c r="J160" s="5" t="s">
        <v>598</v>
      </c>
      <c r="K160" s="6">
        <v>45859</v>
      </c>
      <c r="L160" s="6">
        <v>46022</v>
      </c>
      <c r="M160" s="5" t="str">
        <f>[1]Звіт!C158</f>
        <v>Виконано</v>
      </c>
    </row>
    <row r="161" spans="1:13" s="2" customFormat="1" ht="64.5" x14ac:dyDescent="0.25">
      <c r="A161" s="3">
        <v>157</v>
      </c>
      <c r="B161" s="4" t="str">
        <f>HYPERLINK("https://my.zakupivli.pro/remote/dispatcher/state_purchase_view/60874743", "UA-2025-07-23-004743-a")</f>
        <v>UA-2025-07-23-004743-a</v>
      </c>
      <c r="C161" s="5" t="s">
        <v>713</v>
      </c>
      <c r="D161" s="5" t="s">
        <v>429</v>
      </c>
      <c r="E161" s="5" t="s">
        <v>506</v>
      </c>
      <c r="F161" s="5" t="s">
        <v>703</v>
      </c>
      <c r="G161" s="5" t="s">
        <v>358</v>
      </c>
      <c r="H161" s="5" t="s">
        <v>31</v>
      </c>
      <c r="I161" s="3">
        <v>26820</v>
      </c>
      <c r="J161" s="5" t="s">
        <v>705</v>
      </c>
      <c r="K161" s="6">
        <v>45861</v>
      </c>
      <c r="L161" s="6">
        <v>46022</v>
      </c>
      <c r="M161" s="5" t="str">
        <f>[1]Звіт!C159</f>
        <v>Виконано</v>
      </c>
    </row>
    <row r="162" spans="1:13" s="2" customFormat="1" ht="39" x14ac:dyDescent="0.25">
      <c r="A162" s="3">
        <v>158</v>
      </c>
      <c r="B162" s="4" t="str">
        <f>HYPERLINK("https://my.zakupivli.pro/remote/dispatcher/state_purchase_view/60814673", "UA-2025-07-21-001359-a")</f>
        <v>UA-2025-07-21-001359-a</v>
      </c>
      <c r="C162" s="5" t="s">
        <v>483</v>
      </c>
      <c r="D162" s="5" t="s">
        <v>342</v>
      </c>
      <c r="E162" s="5" t="s">
        <v>506</v>
      </c>
      <c r="F162" s="5" t="s">
        <v>528</v>
      </c>
      <c r="G162" s="5" t="s">
        <v>212</v>
      </c>
      <c r="H162" s="5" t="s">
        <v>106</v>
      </c>
      <c r="I162" s="3">
        <v>500</v>
      </c>
      <c r="J162" s="5" t="s">
        <v>598</v>
      </c>
      <c r="K162" s="6">
        <v>45859</v>
      </c>
      <c r="L162" s="6">
        <v>46022</v>
      </c>
      <c r="M162" s="5" t="str">
        <f>[1]Звіт!C160</f>
        <v>Виконано</v>
      </c>
    </row>
    <row r="163" spans="1:13" s="2" customFormat="1" ht="153.75" x14ac:dyDescent="0.25">
      <c r="A163" s="3">
        <v>159</v>
      </c>
      <c r="B163" s="4" t="str">
        <f>HYPERLINK("https://my.zakupivli.pro/remote/dispatcher/state_purchase_view/60800698", "UA-2025-07-18-007039-a")</f>
        <v>UA-2025-07-18-007039-a</v>
      </c>
      <c r="C163" s="5" t="s">
        <v>656</v>
      </c>
      <c r="D163" s="5" t="s">
        <v>404</v>
      </c>
      <c r="E163" s="5" t="s">
        <v>506</v>
      </c>
      <c r="F163" s="5" t="s">
        <v>702</v>
      </c>
      <c r="G163" s="5" t="s">
        <v>350</v>
      </c>
      <c r="H163" s="5" t="s">
        <v>106</v>
      </c>
      <c r="I163" s="3">
        <v>44500</v>
      </c>
      <c r="J163" s="5" t="s">
        <v>598</v>
      </c>
      <c r="K163" s="6">
        <v>45856</v>
      </c>
      <c r="L163" s="6">
        <v>46022</v>
      </c>
      <c r="M163" s="5" t="str">
        <f>[1]Звіт!C161</f>
        <v>Виконано</v>
      </c>
    </row>
    <row r="164" spans="1:13" s="2" customFormat="1" ht="77.25" x14ac:dyDescent="0.25">
      <c r="A164" s="3">
        <v>160</v>
      </c>
      <c r="B164" s="4" t="str">
        <f>HYPERLINK("https://my.zakupivli.pro/remote/dispatcher/state_purchase_view/63137816", "UA-2025-11-03-002514-a")</f>
        <v>UA-2025-11-03-002514-a</v>
      </c>
      <c r="C164" s="5" t="s">
        <v>712</v>
      </c>
      <c r="D164" s="5" t="s">
        <v>428</v>
      </c>
      <c r="E164" s="5" t="s">
        <v>506</v>
      </c>
      <c r="F164" s="5" t="s">
        <v>680</v>
      </c>
      <c r="G164" s="5" t="s">
        <v>286</v>
      </c>
      <c r="H164" s="5" t="s">
        <v>16</v>
      </c>
      <c r="I164" s="3">
        <v>2400</v>
      </c>
      <c r="J164" s="5" t="s">
        <v>598</v>
      </c>
      <c r="K164" s="6">
        <v>45964</v>
      </c>
      <c r="L164" s="6">
        <v>46022</v>
      </c>
      <c r="M164" s="5" t="str">
        <f>[1]Звіт!C162</f>
        <v>Виконано</v>
      </c>
    </row>
    <row r="165" spans="1:13" s="2" customFormat="1" ht="26.25" x14ac:dyDescent="0.25">
      <c r="A165" s="3">
        <v>161</v>
      </c>
      <c r="B165" s="4" t="str">
        <f>HYPERLINK("https://my.zakupivli.pro/remote/dispatcher/state_purchase_view/62301036", "UA-2025-09-30-001445-a")</f>
        <v>UA-2025-09-30-001445-a</v>
      </c>
      <c r="C165" s="5" t="s">
        <v>771</v>
      </c>
      <c r="D165" s="5" t="s">
        <v>359</v>
      </c>
      <c r="E165" s="5" t="s">
        <v>506</v>
      </c>
      <c r="F165" s="5" t="s">
        <v>514</v>
      </c>
      <c r="G165" s="5" t="s">
        <v>173</v>
      </c>
      <c r="H165" s="5" t="s">
        <v>125</v>
      </c>
      <c r="I165" s="3">
        <v>576</v>
      </c>
      <c r="J165" s="5" t="s">
        <v>598</v>
      </c>
      <c r="K165" s="6">
        <v>45930</v>
      </c>
      <c r="L165" s="6">
        <v>46022</v>
      </c>
      <c r="M165" s="5" t="str">
        <f>[1]Звіт!C163</f>
        <v>Виконано</v>
      </c>
    </row>
    <row r="166" spans="1:13" s="2" customFormat="1" ht="51.75" x14ac:dyDescent="0.25">
      <c r="A166" s="3">
        <v>162</v>
      </c>
      <c r="B166" s="4" t="str">
        <f>HYPERLINK("https://my.zakupivli.pro/remote/dispatcher/state_purchase_view/64262594", "UA-2025-12-09-014110-a")</f>
        <v>UA-2025-12-09-014110-a</v>
      </c>
      <c r="C166" s="5" t="s">
        <v>470</v>
      </c>
      <c r="D166" s="5" t="s">
        <v>165</v>
      </c>
      <c r="E166" s="5" t="s">
        <v>506</v>
      </c>
      <c r="F166" s="5" t="s">
        <v>576</v>
      </c>
      <c r="G166" s="5" t="s">
        <v>250</v>
      </c>
      <c r="H166" s="5" t="s">
        <v>148</v>
      </c>
      <c r="I166" s="3">
        <v>2050</v>
      </c>
      <c r="J166" s="5" t="s">
        <v>598</v>
      </c>
      <c r="K166" s="6">
        <v>46000</v>
      </c>
      <c r="L166" s="6">
        <v>46022</v>
      </c>
      <c r="M166" s="5" t="str">
        <f>[1]Звіт!C164</f>
        <v>Виконано</v>
      </c>
    </row>
    <row r="167" spans="1:13" s="2" customFormat="1" ht="26.25" x14ac:dyDescent="0.25">
      <c r="A167" s="3">
        <v>163</v>
      </c>
      <c r="B167" s="4" t="str">
        <f>HYPERLINK("https://my.zakupivli.pro/remote/dispatcher/state_purchase_view/62369421", "UA-2025-10-02-007441-a")</f>
        <v>UA-2025-10-02-007441-a</v>
      </c>
      <c r="C167" s="5" t="s">
        <v>645</v>
      </c>
      <c r="D167" s="5" t="s">
        <v>217</v>
      </c>
      <c r="E167" s="5" t="s">
        <v>506</v>
      </c>
      <c r="F167" s="5" t="s">
        <v>516</v>
      </c>
      <c r="G167" s="5" t="s">
        <v>190</v>
      </c>
      <c r="H167" s="5" t="s">
        <v>127</v>
      </c>
      <c r="I167" s="3">
        <v>7395</v>
      </c>
      <c r="J167" s="5" t="s">
        <v>598</v>
      </c>
      <c r="K167" s="6">
        <v>45932</v>
      </c>
      <c r="L167" s="6">
        <v>46022</v>
      </c>
      <c r="M167" s="5" t="str">
        <f>[1]Звіт!C165</f>
        <v>Виконано</v>
      </c>
    </row>
    <row r="168" spans="1:13" s="2" customFormat="1" ht="26.25" x14ac:dyDescent="0.25">
      <c r="A168" s="3">
        <v>164</v>
      </c>
      <c r="B168" s="4" t="str">
        <f>HYPERLINK("https://my.zakupivli.pro/remote/dispatcher/state_purchase_view/64300748", "UA-2025-12-10-007876-a")</f>
        <v>UA-2025-12-10-007876-a</v>
      </c>
      <c r="C168" s="5" t="s">
        <v>795</v>
      </c>
      <c r="D168" s="5" t="s">
        <v>348</v>
      </c>
      <c r="E168" s="5" t="s">
        <v>506</v>
      </c>
      <c r="F168" s="5" t="s">
        <v>514</v>
      </c>
      <c r="G168" s="5" t="s">
        <v>173</v>
      </c>
      <c r="H168" s="5" t="s">
        <v>163</v>
      </c>
      <c r="I168" s="3">
        <v>540</v>
      </c>
      <c r="J168" s="5" t="s">
        <v>598</v>
      </c>
      <c r="K168" s="6">
        <v>46001</v>
      </c>
      <c r="L168" s="6">
        <v>46022</v>
      </c>
      <c r="M168" s="5" t="str">
        <f>[1]Звіт!C166</f>
        <v>Виконано</v>
      </c>
    </row>
    <row r="169" spans="1:13" s="2" customFormat="1" ht="39" x14ac:dyDescent="0.25">
      <c r="A169" s="3">
        <v>165</v>
      </c>
      <c r="B169" s="4" t="str">
        <f>HYPERLINK("https://my.zakupivli.pro/remote/dispatcher/state_purchase_view/64885444", "UA-2025-12-24-010625-a")</f>
        <v>UA-2025-12-24-010625-a</v>
      </c>
      <c r="C169" s="5" t="s">
        <v>773</v>
      </c>
      <c r="D169" s="5" t="s">
        <v>273</v>
      </c>
      <c r="E169" s="5" t="s">
        <v>506</v>
      </c>
      <c r="F169" s="5" t="s">
        <v>573</v>
      </c>
      <c r="G169" s="5" t="s">
        <v>189</v>
      </c>
      <c r="H169" s="5" t="s">
        <v>174</v>
      </c>
      <c r="I169" s="3">
        <v>10541</v>
      </c>
      <c r="J169" s="5" t="s">
        <v>598</v>
      </c>
      <c r="K169" s="6">
        <v>46015</v>
      </c>
      <c r="L169" s="6">
        <v>46022</v>
      </c>
      <c r="M169" s="5" t="str">
        <f>[1]Звіт!C167</f>
        <v>Виконано</v>
      </c>
    </row>
    <row r="170" spans="1:13" s="2" customFormat="1" ht="39" x14ac:dyDescent="0.25">
      <c r="A170" s="3">
        <v>166</v>
      </c>
      <c r="B170" s="4" t="str">
        <f>HYPERLINK("https://my.zakupivli.pro/remote/dispatcher/state_purchase_view/65029361", "UA-2025-12-30-006722-a")</f>
        <v>UA-2025-12-30-006722-a</v>
      </c>
      <c r="C170" s="5" t="s">
        <v>490</v>
      </c>
      <c r="D170" s="5" t="s">
        <v>95</v>
      </c>
      <c r="E170" s="5" t="s">
        <v>506</v>
      </c>
      <c r="F170" s="5" t="s">
        <v>564</v>
      </c>
      <c r="G170" s="5" t="s">
        <v>231</v>
      </c>
      <c r="H170" s="5" t="s">
        <v>183</v>
      </c>
      <c r="I170" s="3">
        <v>2900</v>
      </c>
      <c r="J170" s="5" t="s">
        <v>598</v>
      </c>
      <c r="K170" s="6">
        <v>46021</v>
      </c>
      <c r="L170" s="6">
        <v>46022</v>
      </c>
      <c r="M170" s="5" t="str">
        <f>[1]Звіт!C168</f>
        <v>Виконано</v>
      </c>
    </row>
    <row r="171" spans="1:13" s="2" customFormat="1" ht="39" x14ac:dyDescent="0.25">
      <c r="A171" s="3">
        <v>167</v>
      </c>
      <c r="B171" s="4" t="str">
        <f>HYPERLINK("https://my.zakupivli.pro/remote/dispatcher/state_purchase_view/65028889", "UA-2025-12-30-006512-a")</f>
        <v>UA-2025-12-30-006512-a</v>
      </c>
      <c r="C171" s="5" t="s">
        <v>535</v>
      </c>
      <c r="D171" s="5" t="s">
        <v>85</v>
      </c>
      <c r="E171" s="5" t="s">
        <v>506</v>
      </c>
      <c r="F171" s="5" t="s">
        <v>564</v>
      </c>
      <c r="G171" s="5" t="s">
        <v>231</v>
      </c>
      <c r="H171" s="5" t="s">
        <v>183</v>
      </c>
      <c r="I171" s="3">
        <v>1824</v>
      </c>
      <c r="J171" s="5" t="s">
        <v>598</v>
      </c>
      <c r="K171" s="6">
        <v>46021</v>
      </c>
      <c r="L171" s="6">
        <v>46022</v>
      </c>
      <c r="M171" s="5" t="str">
        <f>[1]Звіт!C169</f>
        <v>Виконано</v>
      </c>
    </row>
    <row r="172" spans="1:13" s="2" customFormat="1" ht="26.25" x14ac:dyDescent="0.25">
      <c r="A172" s="3">
        <v>168</v>
      </c>
      <c r="B172" s="4" t="str">
        <f>HYPERLINK("https://my.zakupivli.pro/remote/dispatcher/state_purchase_view/65025345", "UA-2025-12-30-004876-a")</f>
        <v>UA-2025-12-30-004876-a</v>
      </c>
      <c r="C172" s="5" t="s">
        <v>706</v>
      </c>
      <c r="D172" s="5" t="s">
        <v>243</v>
      </c>
      <c r="E172" s="5" t="s">
        <v>506</v>
      </c>
      <c r="F172" s="5" t="s">
        <v>562</v>
      </c>
      <c r="G172" s="5" t="s">
        <v>229</v>
      </c>
      <c r="H172" s="5" t="s">
        <v>180</v>
      </c>
      <c r="I172" s="3">
        <v>66400</v>
      </c>
      <c r="J172" s="5" t="s">
        <v>598</v>
      </c>
      <c r="K172" s="6">
        <v>46021</v>
      </c>
      <c r="L172" s="6">
        <v>46022</v>
      </c>
      <c r="M172" s="5" t="str">
        <f>[1]Звіт!C170</f>
        <v>Виконано</v>
      </c>
    </row>
    <row r="173" spans="1:13" s="2" customFormat="1" ht="26.25" x14ac:dyDescent="0.25">
      <c r="A173" s="3">
        <v>169</v>
      </c>
      <c r="B173" s="4" t="str">
        <f>HYPERLINK("https://my.zakupivli.pro/remote/dispatcher/state_purchase_view/63600525", "UA-2025-11-19-003403-a")</f>
        <v>UA-2025-11-19-003403-a</v>
      </c>
      <c r="C173" s="5" t="s">
        <v>828</v>
      </c>
      <c r="D173" s="5" t="s">
        <v>121</v>
      </c>
      <c r="E173" s="5" t="s">
        <v>506</v>
      </c>
      <c r="F173" s="5" t="s">
        <v>466</v>
      </c>
      <c r="G173" s="5" t="s">
        <v>206</v>
      </c>
      <c r="H173" s="5" t="s">
        <v>147</v>
      </c>
      <c r="I173" s="3">
        <v>144</v>
      </c>
      <c r="J173" s="5" t="s">
        <v>598</v>
      </c>
      <c r="K173" s="6">
        <v>45980</v>
      </c>
      <c r="L173" s="6">
        <v>46022</v>
      </c>
      <c r="M173" s="5" t="str">
        <f>[1]Звіт!C171</f>
        <v>Виконано</v>
      </c>
    </row>
    <row r="174" spans="1:13" s="2" customFormat="1" ht="39" x14ac:dyDescent="0.25">
      <c r="A174" s="3">
        <v>170</v>
      </c>
      <c r="B174" s="4" t="str">
        <f>HYPERLINK("https://my.zakupivli.pro/remote/dispatcher/state_purchase_view/63515577", "UA-2025-11-17-001361-a")</f>
        <v>UA-2025-11-17-001361-a</v>
      </c>
      <c r="C174" s="5" t="s">
        <v>670</v>
      </c>
      <c r="D174" s="5" t="s">
        <v>300</v>
      </c>
      <c r="E174" s="5" t="s">
        <v>506</v>
      </c>
      <c r="F174" s="5" t="s">
        <v>512</v>
      </c>
      <c r="G174" s="5" t="s">
        <v>240</v>
      </c>
      <c r="H174" s="5" t="s">
        <v>144</v>
      </c>
      <c r="I174" s="3">
        <v>25100</v>
      </c>
      <c r="J174" s="5" t="s">
        <v>598</v>
      </c>
      <c r="K174" s="6">
        <v>45978</v>
      </c>
      <c r="L174" s="6">
        <v>46022</v>
      </c>
      <c r="M174" s="5" t="str">
        <f>[1]Звіт!C172</f>
        <v>Виконано</v>
      </c>
    </row>
    <row r="175" spans="1:13" s="2" customFormat="1" ht="64.5" x14ac:dyDescent="0.25">
      <c r="A175" s="3">
        <v>171</v>
      </c>
      <c r="B175" s="4" t="str">
        <f>HYPERLINK("https://my.zakupivli.pro/remote/dispatcher/state_purchase_view/58155484", "UA-2025-03-18-002649-a")</f>
        <v>UA-2025-03-18-002649-a</v>
      </c>
      <c r="C175" s="5" t="s">
        <v>724</v>
      </c>
      <c r="D175" s="5" t="s">
        <v>312</v>
      </c>
      <c r="E175" s="5" t="s">
        <v>508</v>
      </c>
      <c r="F175" s="5" t="s">
        <v>716</v>
      </c>
      <c r="G175" s="5" t="s">
        <v>215</v>
      </c>
      <c r="H175" s="5" t="s">
        <v>420</v>
      </c>
      <c r="I175" s="7">
        <v>152400</v>
      </c>
      <c r="J175" s="5" t="s">
        <v>598</v>
      </c>
      <c r="K175" s="6">
        <v>45742</v>
      </c>
      <c r="L175" s="6">
        <v>46022</v>
      </c>
      <c r="M175" s="5" t="str">
        <f>[1]Звіт!C173</f>
        <v>Виконано</v>
      </c>
    </row>
    <row r="176" spans="1:13" s="2" customFormat="1" ht="409.6" x14ac:dyDescent="0.25">
      <c r="A176" s="3">
        <v>172</v>
      </c>
      <c r="B176" s="4" t="str">
        <f>HYPERLINK("https://my.zakupivli.pro/remote/dispatcher/state_purchase_view/64189075", "UA-2025-12-08-003089-a")</f>
        <v>UA-2025-12-08-003089-a</v>
      </c>
      <c r="C176" s="5" t="s">
        <v>500</v>
      </c>
      <c r="D176" s="5" t="s">
        <v>265</v>
      </c>
      <c r="E176" s="5" t="s">
        <v>479</v>
      </c>
      <c r="F176" s="5" t="s">
        <v>718</v>
      </c>
      <c r="G176" s="5" t="s">
        <v>197</v>
      </c>
      <c r="H176" s="5" t="s">
        <v>179</v>
      </c>
      <c r="I176" s="7">
        <v>25045</v>
      </c>
      <c r="J176" s="5" t="s">
        <v>598</v>
      </c>
      <c r="K176" s="6">
        <v>46020</v>
      </c>
      <c r="L176" s="6">
        <v>46022</v>
      </c>
      <c r="M176" s="5" t="str">
        <f>[1]Звіт!C174</f>
        <v>Виконано</v>
      </c>
    </row>
    <row r="177" spans="1:13" s="2" customFormat="1" ht="39" x14ac:dyDescent="0.25">
      <c r="A177" s="3">
        <v>173</v>
      </c>
      <c r="B177" s="4" t="str">
        <f>HYPERLINK("https://my.zakupivli.pro/remote/dispatcher/state_purchase_view/60718855", "UA-2025-07-15-004476-a")</f>
        <v>UA-2025-07-15-004476-a</v>
      </c>
      <c r="C177" s="5" t="s">
        <v>468</v>
      </c>
      <c r="D177" s="5" t="s">
        <v>21</v>
      </c>
      <c r="E177" s="5" t="s">
        <v>508</v>
      </c>
      <c r="F177" s="5" t="s">
        <v>600</v>
      </c>
      <c r="G177" s="5" t="s">
        <v>361</v>
      </c>
      <c r="H177" s="5" t="s">
        <v>114</v>
      </c>
      <c r="I177" s="7">
        <v>149994</v>
      </c>
      <c r="J177" s="5" t="s">
        <v>705</v>
      </c>
      <c r="K177" s="6">
        <v>45861</v>
      </c>
      <c r="L177" s="6">
        <v>46022</v>
      </c>
      <c r="M177" s="5" t="str">
        <f>[1]Звіт!C175</f>
        <v>Виконано</v>
      </c>
    </row>
    <row r="178" spans="1:13" s="2" customFormat="1" ht="39" x14ac:dyDescent="0.25">
      <c r="A178" s="3">
        <v>174</v>
      </c>
      <c r="B178" s="4" t="str">
        <f>HYPERLINK("https://my.zakupivli.pro/remote/dispatcher/state_purchase_view/56334184", "UA-2025-01-03-000475-a")</f>
        <v>UA-2025-01-03-000475-a</v>
      </c>
      <c r="C178" s="5" t="s">
        <v>654</v>
      </c>
      <c r="D178" s="5" t="s">
        <v>381</v>
      </c>
      <c r="E178" s="5" t="s">
        <v>506</v>
      </c>
      <c r="F178" s="5" t="s">
        <v>579</v>
      </c>
      <c r="G178" s="5" t="s">
        <v>175</v>
      </c>
      <c r="H178" s="5" t="s">
        <v>50</v>
      </c>
      <c r="I178" s="3">
        <v>23400</v>
      </c>
      <c r="J178" s="5" t="s">
        <v>598</v>
      </c>
      <c r="K178" s="6">
        <v>45660</v>
      </c>
      <c r="L178" s="6">
        <v>46022</v>
      </c>
      <c r="M178" s="5" t="str">
        <f>[1]Звіт!C176</f>
        <v>Виконано</v>
      </c>
    </row>
    <row r="179" spans="1:13" s="2" customFormat="1" ht="51.75" x14ac:dyDescent="0.25">
      <c r="A179" s="3">
        <v>175</v>
      </c>
      <c r="B179" s="4" t="str">
        <f>HYPERLINK("https://my.zakupivli.pro/remote/dispatcher/state_purchase_view/56311015", "UA-2025-01-01-000545-a")</f>
        <v>UA-2025-01-01-000545-a</v>
      </c>
      <c r="C179" s="5" t="s">
        <v>549</v>
      </c>
      <c r="D179" s="5" t="s">
        <v>411</v>
      </c>
      <c r="E179" s="5" t="s">
        <v>506</v>
      </c>
      <c r="F179" s="5" t="s">
        <v>599</v>
      </c>
      <c r="G179" s="5" t="s">
        <v>208</v>
      </c>
      <c r="H179" s="5" t="s">
        <v>216</v>
      </c>
      <c r="I179" s="3">
        <v>5350</v>
      </c>
      <c r="J179" s="5" t="s">
        <v>598</v>
      </c>
      <c r="K179" s="6">
        <v>45658</v>
      </c>
      <c r="L179" s="6">
        <v>46022</v>
      </c>
      <c r="M179" s="5" t="str">
        <f>[1]Звіт!C177</f>
        <v>Виконано</v>
      </c>
    </row>
    <row r="180" spans="1:13" s="2" customFormat="1" ht="26.25" x14ac:dyDescent="0.25">
      <c r="A180" s="3">
        <v>176</v>
      </c>
      <c r="B180" s="4" t="str">
        <f>HYPERLINK("https://my.zakupivli.pro/remote/dispatcher/state_purchase_view/58587969", "UA-2025-04-07-005891-a")</f>
        <v>UA-2025-04-07-005891-a</v>
      </c>
      <c r="C180" s="5" t="s">
        <v>737</v>
      </c>
      <c r="D180" s="5" t="s">
        <v>360</v>
      </c>
      <c r="E180" s="5" t="s">
        <v>506</v>
      </c>
      <c r="F180" s="5" t="s">
        <v>525</v>
      </c>
      <c r="G180" s="5" t="s">
        <v>205</v>
      </c>
      <c r="H180" s="5" t="s">
        <v>445</v>
      </c>
      <c r="I180" s="3">
        <v>525</v>
      </c>
      <c r="J180" s="5" t="s">
        <v>598</v>
      </c>
      <c r="K180" s="6">
        <v>45754</v>
      </c>
      <c r="L180" s="6">
        <v>46022</v>
      </c>
      <c r="M180" s="5" t="str">
        <f>[1]Звіт!C178</f>
        <v>Виконано</v>
      </c>
    </row>
    <row r="181" spans="1:13" s="2" customFormat="1" ht="51.75" x14ac:dyDescent="0.25">
      <c r="A181" s="3">
        <v>177</v>
      </c>
      <c r="B181" s="4" t="str">
        <f>HYPERLINK("https://my.zakupivli.pro/remote/dispatcher/state_purchase_view/58537095", "UA-2025-04-03-011305-a")</f>
        <v>UA-2025-04-03-011305-a</v>
      </c>
      <c r="C181" s="5" t="s">
        <v>602</v>
      </c>
      <c r="D181" s="5" t="s">
        <v>409</v>
      </c>
      <c r="E181" s="5" t="s">
        <v>506</v>
      </c>
      <c r="F181" s="5" t="s">
        <v>574</v>
      </c>
      <c r="G181" s="5" t="s">
        <v>140</v>
      </c>
      <c r="H181" s="5" t="s">
        <v>24</v>
      </c>
      <c r="I181" s="3">
        <v>6000</v>
      </c>
      <c r="J181" s="5" t="s">
        <v>598</v>
      </c>
      <c r="K181" s="6">
        <v>45750</v>
      </c>
      <c r="L181" s="6">
        <v>46022</v>
      </c>
      <c r="M181" s="5" t="str">
        <f>[1]Звіт!C179</f>
        <v>Виконано</v>
      </c>
    </row>
    <row r="182" spans="1:13" s="2" customFormat="1" ht="51.75" x14ac:dyDescent="0.25">
      <c r="A182" s="3">
        <v>178</v>
      </c>
      <c r="B182" s="4" t="str">
        <f>HYPERLINK("https://my.zakupivli.pro/remote/dispatcher/state_purchase_view/58865827", "UA-2025-04-18-003767-a")</f>
        <v>UA-2025-04-18-003767-a</v>
      </c>
      <c r="C182" s="5" t="s">
        <v>594</v>
      </c>
      <c r="D182" s="5" t="s">
        <v>406</v>
      </c>
      <c r="E182" s="5" t="s">
        <v>506</v>
      </c>
      <c r="F182" s="5" t="s">
        <v>610</v>
      </c>
      <c r="G182" s="5" t="s">
        <v>14</v>
      </c>
      <c r="H182" s="5" t="s">
        <v>570</v>
      </c>
      <c r="I182" s="7">
        <v>20849.77</v>
      </c>
      <c r="J182" s="5" t="s">
        <v>598</v>
      </c>
      <c r="K182" s="6">
        <v>45765</v>
      </c>
      <c r="L182" s="6">
        <v>46022</v>
      </c>
      <c r="M182" s="5" t="str">
        <f>[1]Звіт!C180</f>
        <v>Виконано</v>
      </c>
    </row>
    <row r="183" spans="1:13" s="2" customFormat="1" ht="396" x14ac:dyDescent="0.25">
      <c r="A183" s="3">
        <v>179</v>
      </c>
      <c r="B183" s="4" t="str">
        <f>HYPERLINK("https://my.zakupivli.pro/remote/dispatcher/state_purchase_view/58034609", "UA-2025-03-12-004984-a")</f>
        <v>UA-2025-03-12-004984-a</v>
      </c>
      <c r="C183" s="5" t="s">
        <v>560</v>
      </c>
      <c r="D183" s="5" t="s">
        <v>91</v>
      </c>
      <c r="E183" s="5" t="s">
        <v>506</v>
      </c>
      <c r="F183" s="5" t="s">
        <v>591</v>
      </c>
      <c r="G183" s="5" t="s">
        <v>160</v>
      </c>
      <c r="H183" s="5" t="s">
        <v>387</v>
      </c>
      <c r="I183" s="7">
        <v>9904.75</v>
      </c>
      <c r="J183" s="5" t="s">
        <v>598</v>
      </c>
      <c r="K183" s="6">
        <v>45728</v>
      </c>
      <c r="L183" s="6">
        <v>46022</v>
      </c>
      <c r="M183" s="5" t="str">
        <f>[1]Звіт!C181</f>
        <v>Виконано</v>
      </c>
    </row>
    <row r="184" spans="1:13" s="2" customFormat="1" ht="26.25" x14ac:dyDescent="0.25">
      <c r="A184" s="3">
        <v>180</v>
      </c>
      <c r="B184" s="4" t="str">
        <f>HYPERLINK("https://my.zakupivli.pro/remote/dispatcher/state_purchase_view/58035309", "UA-2025-03-12-005249-a")</f>
        <v>UA-2025-03-12-005249-a</v>
      </c>
      <c r="C184" s="5" t="s">
        <v>487</v>
      </c>
      <c r="D184" s="5" t="s">
        <v>12</v>
      </c>
      <c r="E184" s="5" t="s">
        <v>506</v>
      </c>
      <c r="F184" s="5" t="s">
        <v>591</v>
      </c>
      <c r="G184" s="5" t="s">
        <v>160</v>
      </c>
      <c r="H184" s="5" t="s">
        <v>388</v>
      </c>
      <c r="I184" s="3">
        <v>1450</v>
      </c>
      <c r="J184" s="5" t="s">
        <v>598</v>
      </c>
      <c r="K184" s="6">
        <v>45728</v>
      </c>
      <c r="L184" s="6">
        <v>46022</v>
      </c>
      <c r="M184" s="5" t="str">
        <f>[1]Звіт!C182</f>
        <v>Виконано</v>
      </c>
    </row>
    <row r="185" spans="1:13" s="2" customFormat="1" ht="51.75" x14ac:dyDescent="0.25">
      <c r="A185" s="3">
        <v>181</v>
      </c>
      <c r="B185" s="4" t="str">
        <f>HYPERLINK("https://my.zakupivli.pro/remote/dispatcher/state_purchase_view/58035563", "UA-2025-03-12-005404-a")</f>
        <v>UA-2025-03-12-005404-a</v>
      </c>
      <c r="C185" s="5" t="s">
        <v>537</v>
      </c>
      <c r="D185" s="5" t="s">
        <v>97</v>
      </c>
      <c r="E185" s="5" t="s">
        <v>506</v>
      </c>
      <c r="F185" s="5" t="s">
        <v>591</v>
      </c>
      <c r="G185" s="5" t="s">
        <v>160</v>
      </c>
      <c r="H185" s="5" t="s">
        <v>390</v>
      </c>
      <c r="I185" s="3">
        <v>3904</v>
      </c>
      <c r="J185" s="5" t="s">
        <v>598</v>
      </c>
      <c r="K185" s="6">
        <v>45728</v>
      </c>
      <c r="L185" s="6">
        <v>46022</v>
      </c>
      <c r="M185" s="5" t="str">
        <f>[1]Звіт!C183</f>
        <v>Виконано</v>
      </c>
    </row>
    <row r="186" spans="1:13" s="2" customFormat="1" ht="26.25" x14ac:dyDescent="0.25">
      <c r="A186" s="3">
        <v>182</v>
      </c>
      <c r="B186" s="4" t="str">
        <f>HYPERLINK("https://my.zakupivli.pro/remote/dispatcher/state_purchase_view/57127831", "UA-2025-02-03-003084-a")</f>
        <v>UA-2025-02-03-003084-a</v>
      </c>
      <c r="C186" s="5" t="s">
        <v>556</v>
      </c>
      <c r="D186" s="5" t="s">
        <v>87</v>
      </c>
      <c r="E186" s="5" t="s">
        <v>506</v>
      </c>
      <c r="F186" s="5" t="s">
        <v>591</v>
      </c>
      <c r="G186" s="5" t="s">
        <v>160</v>
      </c>
      <c r="H186" s="5" t="s">
        <v>325</v>
      </c>
      <c r="I186" s="3">
        <v>4980</v>
      </c>
      <c r="J186" s="5" t="s">
        <v>598</v>
      </c>
      <c r="K186" s="6">
        <v>45691</v>
      </c>
      <c r="L186" s="6">
        <v>46022</v>
      </c>
      <c r="M186" s="5" t="str">
        <f>[1]Звіт!C184</f>
        <v>Виконано</v>
      </c>
    </row>
    <row r="187" spans="1:13" s="2" customFormat="1" ht="26.25" x14ac:dyDescent="0.25">
      <c r="A187" s="3">
        <v>183</v>
      </c>
      <c r="B187" s="4" t="str">
        <f>HYPERLINK("https://my.zakupivli.pro/remote/dispatcher/state_purchase_view/58164877", "UA-2025-03-18-006977-a")</f>
        <v>UA-2025-03-18-006977-a</v>
      </c>
      <c r="C187" s="5" t="s">
        <v>464</v>
      </c>
      <c r="D187" s="5" t="s">
        <v>230</v>
      </c>
      <c r="E187" s="5" t="s">
        <v>506</v>
      </c>
      <c r="F187" s="5" t="s">
        <v>573</v>
      </c>
      <c r="G187" s="5" t="s">
        <v>189</v>
      </c>
      <c r="H187" s="5" t="s">
        <v>401</v>
      </c>
      <c r="I187" s="3">
        <v>2800</v>
      </c>
      <c r="J187" s="5" t="s">
        <v>598</v>
      </c>
      <c r="K187" s="6">
        <v>45734</v>
      </c>
      <c r="L187" s="6">
        <v>46022</v>
      </c>
      <c r="M187" s="5" t="str">
        <f>[1]Звіт!C185</f>
        <v>Виконано</v>
      </c>
    </row>
    <row r="188" spans="1:13" s="2" customFormat="1" ht="26.25" x14ac:dyDescent="0.25">
      <c r="A188" s="3">
        <v>184</v>
      </c>
      <c r="B188" s="4" t="str">
        <f>HYPERLINK("https://my.zakupivli.pro/remote/dispatcher/state_purchase_view/58127610", "UA-2025-03-17-004110-a")</f>
        <v>UA-2025-03-17-004110-a</v>
      </c>
      <c r="C188" s="5" t="s">
        <v>855</v>
      </c>
      <c r="D188" s="5" t="s">
        <v>360</v>
      </c>
      <c r="E188" s="5" t="s">
        <v>506</v>
      </c>
      <c r="F188" s="5" t="s">
        <v>525</v>
      </c>
      <c r="G188" s="5" t="s">
        <v>205</v>
      </c>
      <c r="H188" s="5" t="s">
        <v>394</v>
      </c>
      <c r="I188" s="3">
        <v>944</v>
      </c>
      <c r="J188" s="5" t="s">
        <v>598</v>
      </c>
      <c r="K188" s="6">
        <v>45733</v>
      </c>
      <c r="L188" s="6">
        <v>46022</v>
      </c>
      <c r="M188" s="5" t="str">
        <f>[1]Звіт!C186</f>
        <v>Виконано</v>
      </c>
    </row>
    <row r="189" spans="1:13" s="2" customFormat="1" ht="39" x14ac:dyDescent="0.25">
      <c r="A189" s="3">
        <v>185</v>
      </c>
      <c r="B189" s="4" t="str">
        <f>HYPERLINK("https://my.zakupivli.pro/remote/dispatcher/state_purchase_view/58185581", "UA-2025-03-19-001326-a")</f>
        <v>UA-2025-03-19-001326-a</v>
      </c>
      <c r="C189" s="5" t="s">
        <v>519</v>
      </c>
      <c r="D189" s="5" t="s">
        <v>307</v>
      </c>
      <c r="E189" s="5" t="s">
        <v>506</v>
      </c>
      <c r="F189" s="5" t="s">
        <v>575</v>
      </c>
      <c r="G189" s="5" t="s">
        <v>223</v>
      </c>
      <c r="H189" s="5" t="s">
        <v>315</v>
      </c>
      <c r="I189" s="3">
        <v>13537</v>
      </c>
      <c r="J189" s="5" t="s">
        <v>598</v>
      </c>
      <c r="K189" s="6">
        <v>45735</v>
      </c>
      <c r="L189" s="6">
        <v>46022</v>
      </c>
      <c r="M189" s="5" t="str">
        <f>[1]Звіт!C187</f>
        <v>Виконано</v>
      </c>
    </row>
    <row r="190" spans="1:13" s="2" customFormat="1" ht="51.75" x14ac:dyDescent="0.25">
      <c r="A190" s="3">
        <v>186</v>
      </c>
      <c r="B190" s="4" t="str">
        <f>HYPERLINK("https://my.zakupivli.pro/remote/dispatcher/state_purchase_view/57446358", "UA-2025-02-13-009777-a")</f>
        <v>UA-2025-02-13-009777-a</v>
      </c>
      <c r="C190" s="5" t="s">
        <v>546</v>
      </c>
      <c r="D190" s="5" t="s">
        <v>433</v>
      </c>
      <c r="E190" s="5" t="s">
        <v>506</v>
      </c>
      <c r="F190" s="5" t="s">
        <v>688</v>
      </c>
      <c r="G190" s="5" t="s">
        <v>333</v>
      </c>
      <c r="H190" s="5" t="s">
        <v>55</v>
      </c>
      <c r="I190" s="7">
        <v>99444.76</v>
      </c>
      <c r="J190" s="5" t="s">
        <v>598</v>
      </c>
      <c r="K190" s="6">
        <v>45700</v>
      </c>
      <c r="L190" s="6">
        <v>46022</v>
      </c>
      <c r="M190" s="5" t="str">
        <f>[1]Звіт!C188</f>
        <v>Виконано</v>
      </c>
    </row>
    <row r="191" spans="1:13" s="2" customFormat="1" ht="26.25" x14ac:dyDescent="0.25">
      <c r="A191" s="3">
        <v>187</v>
      </c>
      <c r="B191" s="4" t="str">
        <f>HYPERLINK("https://my.zakupivli.pro/remote/dispatcher/state_purchase_view/57017550", "UA-2025-01-29-007265-a")</f>
        <v>UA-2025-01-29-007265-a</v>
      </c>
      <c r="C191" s="5" t="s">
        <v>359</v>
      </c>
      <c r="D191" s="5" t="s">
        <v>359</v>
      </c>
      <c r="E191" s="5" t="s">
        <v>506</v>
      </c>
      <c r="F191" s="5" t="s">
        <v>505</v>
      </c>
      <c r="G191" s="5" t="s">
        <v>143</v>
      </c>
      <c r="H191" s="5" t="s">
        <v>136</v>
      </c>
      <c r="I191" s="3">
        <v>6855</v>
      </c>
      <c r="J191" s="5" t="s">
        <v>705</v>
      </c>
      <c r="K191" s="6">
        <v>45686</v>
      </c>
      <c r="L191" s="6">
        <v>46022</v>
      </c>
      <c r="M191" s="5" t="str">
        <f>[1]Звіт!C189</f>
        <v>Виконано</v>
      </c>
    </row>
    <row r="192" spans="1:13" s="2" customFormat="1" ht="51.75" x14ac:dyDescent="0.25">
      <c r="A192" s="3">
        <v>188</v>
      </c>
      <c r="B192" s="4" t="str">
        <f>HYPERLINK("https://my.zakupivli.pro/remote/dispatcher/state_purchase_view/56919905", "UA-2025-01-27-003133-a")</f>
        <v>UA-2025-01-27-003133-a</v>
      </c>
      <c r="C192" s="5" t="s">
        <v>552</v>
      </c>
      <c r="D192" s="5" t="s">
        <v>411</v>
      </c>
      <c r="E192" s="5" t="s">
        <v>506</v>
      </c>
      <c r="F192" s="5" t="s">
        <v>693</v>
      </c>
      <c r="G192" s="5" t="s">
        <v>284</v>
      </c>
      <c r="H192" s="5" t="s">
        <v>396</v>
      </c>
      <c r="I192" s="3">
        <v>28800</v>
      </c>
      <c r="J192" s="5" t="s">
        <v>705</v>
      </c>
      <c r="K192" s="6">
        <v>45684</v>
      </c>
      <c r="L192" s="6">
        <v>46022</v>
      </c>
      <c r="M192" s="5" t="str">
        <f>[1]Звіт!C190</f>
        <v>Виконано</v>
      </c>
    </row>
    <row r="193" spans="1:13" s="2" customFormat="1" ht="102.75" x14ac:dyDescent="0.25">
      <c r="A193" s="3">
        <v>189</v>
      </c>
      <c r="B193" s="4" t="str">
        <f>HYPERLINK("https://my.zakupivli.pro/remote/dispatcher/state_purchase_view/56975355", "UA-2025-01-28-008299-a")</f>
        <v>UA-2025-01-28-008299-a</v>
      </c>
      <c r="C193" s="5" t="s">
        <v>583</v>
      </c>
      <c r="D193" s="5" t="s">
        <v>406</v>
      </c>
      <c r="E193" s="5" t="s">
        <v>506</v>
      </c>
      <c r="F193" s="5" t="s">
        <v>673</v>
      </c>
      <c r="G193" s="5" t="s">
        <v>6</v>
      </c>
      <c r="H193" s="5" t="s">
        <v>18</v>
      </c>
      <c r="I193" s="3">
        <v>18900</v>
      </c>
      <c r="J193" s="5" t="s">
        <v>705</v>
      </c>
      <c r="K193" s="6">
        <v>45685</v>
      </c>
      <c r="L193" s="6">
        <v>46022</v>
      </c>
      <c r="M193" s="5" t="str">
        <f>[1]Звіт!C191</f>
        <v>Виконано</v>
      </c>
    </row>
    <row r="194" spans="1:13" s="2" customFormat="1" ht="51.75" x14ac:dyDescent="0.25">
      <c r="A194" s="3">
        <v>190</v>
      </c>
      <c r="B194" s="4" t="str">
        <f>HYPERLINK("https://my.zakupivli.pro/remote/dispatcher/state_purchase_view/56839714", "UA-2025-01-23-007955-a")</f>
        <v>UA-2025-01-23-007955-a</v>
      </c>
      <c r="C194" s="5" t="s">
        <v>537</v>
      </c>
      <c r="D194" s="5" t="s">
        <v>97</v>
      </c>
      <c r="E194" s="5" t="s">
        <v>506</v>
      </c>
      <c r="F194" s="5" t="s">
        <v>591</v>
      </c>
      <c r="G194" s="5" t="s">
        <v>160</v>
      </c>
      <c r="H194" s="5" t="s">
        <v>192</v>
      </c>
      <c r="I194" s="3">
        <v>2074</v>
      </c>
      <c r="J194" s="5" t="s">
        <v>598</v>
      </c>
      <c r="K194" s="6">
        <v>45680</v>
      </c>
      <c r="L194" s="6">
        <v>46022</v>
      </c>
      <c r="M194" s="5" t="str">
        <f>[1]Звіт!C192</f>
        <v>Виконано</v>
      </c>
    </row>
    <row r="195" spans="1:13" s="2" customFormat="1" ht="51.75" x14ac:dyDescent="0.25">
      <c r="A195" s="3">
        <v>191</v>
      </c>
      <c r="B195" s="4" t="str">
        <f>HYPERLINK("https://my.zakupivli.pro/remote/dispatcher/state_purchase_view/60827664", "UA-2025-07-21-007106-a")</f>
        <v>UA-2025-07-21-007106-a</v>
      </c>
      <c r="C195" s="5" t="s">
        <v>784</v>
      </c>
      <c r="D195" s="5" t="s">
        <v>306</v>
      </c>
      <c r="E195" s="5" t="s">
        <v>506</v>
      </c>
      <c r="F195" s="5" t="s">
        <v>514</v>
      </c>
      <c r="G195" s="5" t="s">
        <v>173</v>
      </c>
      <c r="H195" s="5" t="s">
        <v>107</v>
      </c>
      <c r="I195" s="3">
        <v>50</v>
      </c>
      <c r="J195" s="5" t="s">
        <v>598</v>
      </c>
      <c r="K195" s="6">
        <v>45859</v>
      </c>
      <c r="L195" s="6">
        <v>46022</v>
      </c>
      <c r="M195" s="5" t="str">
        <f>[1]Звіт!C193</f>
        <v>Виконано</v>
      </c>
    </row>
    <row r="196" spans="1:13" s="2" customFormat="1" ht="51.75" x14ac:dyDescent="0.25">
      <c r="A196" s="3">
        <v>192</v>
      </c>
      <c r="B196" s="4" t="str">
        <f>HYPERLINK("https://my.zakupivli.pro/remote/dispatcher/state_purchase_view/60872686", "UA-2025-07-23-003848-a")</f>
        <v>UA-2025-07-23-003848-a</v>
      </c>
      <c r="C196" s="5" t="s">
        <v>537</v>
      </c>
      <c r="D196" s="5" t="s">
        <v>97</v>
      </c>
      <c r="E196" s="5" t="s">
        <v>506</v>
      </c>
      <c r="F196" s="5" t="s">
        <v>591</v>
      </c>
      <c r="G196" s="5" t="s">
        <v>160</v>
      </c>
      <c r="H196" s="5" t="s">
        <v>109</v>
      </c>
      <c r="I196" s="3">
        <v>6161</v>
      </c>
      <c r="J196" s="5" t="s">
        <v>598</v>
      </c>
      <c r="K196" s="6">
        <v>45861</v>
      </c>
      <c r="L196" s="6">
        <v>46022</v>
      </c>
      <c r="M196" s="5" t="str">
        <f>[1]Звіт!C194</f>
        <v>Виконано</v>
      </c>
    </row>
    <row r="197" spans="1:13" s="2" customFormat="1" ht="39" x14ac:dyDescent="0.25">
      <c r="A197" s="3">
        <v>193</v>
      </c>
      <c r="B197" s="4" t="str">
        <f>HYPERLINK("https://my.zakupivli.pro/remote/dispatcher/state_purchase_view/60391016", "UA-2025-06-27-003667-a")</f>
        <v>UA-2025-06-27-003667-a</v>
      </c>
      <c r="C197" s="5" t="s">
        <v>603</v>
      </c>
      <c r="D197" s="5" t="s">
        <v>406</v>
      </c>
      <c r="E197" s="5" t="s">
        <v>506</v>
      </c>
      <c r="F197" s="5" t="s">
        <v>686</v>
      </c>
      <c r="G197" s="5" t="s">
        <v>285</v>
      </c>
      <c r="H197" s="5" t="s">
        <v>83</v>
      </c>
      <c r="I197" s="3">
        <v>4800</v>
      </c>
      <c r="J197" s="5" t="s">
        <v>705</v>
      </c>
      <c r="K197" s="6">
        <v>45835</v>
      </c>
      <c r="L197" s="6">
        <v>46022</v>
      </c>
      <c r="M197" s="5" t="str">
        <f>[1]Звіт!C195</f>
        <v>Виконано</v>
      </c>
    </row>
    <row r="198" spans="1:13" s="2" customFormat="1" ht="141" x14ac:dyDescent="0.25">
      <c r="A198" s="3">
        <v>194</v>
      </c>
      <c r="B198" s="4" t="str">
        <f>HYPERLINK("https://my.zakupivli.pro/remote/dispatcher/state_purchase_view/60411024", "UA-2025-06-30-001281-a")</f>
        <v>UA-2025-06-30-001281-a</v>
      </c>
      <c r="C198" s="5" t="s">
        <v>582</v>
      </c>
      <c r="D198" s="5" t="s">
        <v>406</v>
      </c>
      <c r="E198" s="5" t="s">
        <v>506</v>
      </c>
      <c r="F198" s="5" t="s">
        <v>612</v>
      </c>
      <c r="G198" s="5" t="s">
        <v>289</v>
      </c>
      <c r="H198" s="5" t="s">
        <v>86</v>
      </c>
      <c r="I198" s="3">
        <v>15312</v>
      </c>
      <c r="J198" s="5" t="s">
        <v>705</v>
      </c>
      <c r="K198" s="6">
        <v>45838</v>
      </c>
      <c r="L198" s="6">
        <v>46022</v>
      </c>
      <c r="M198" s="5" t="str">
        <f>[1]Звіт!C196</f>
        <v>Виконано</v>
      </c>
    </row>
    <row r="199" spans="1:13" s="2" customFormat="1" ht="39" x14ac:dyDescent="0.25">
      <c r="A199" s="3">
        <v>195</v>
      </c>
      <c r="B199" s="4" t="str">
        <f>HYPERLINK("https://my.zakupivli.pro/remote/dispatcher/state_purchase_view/60744727", "UA-2025-07-16-004262-a")</f>
        <v>UA-2025-07-16-004262-a</v>
      </c>
      <c r="C199" s="5" t="s">
        <v>729</v>
      </c>
      <c r="D199" s="5" t="s">
        <v>301</v>
      </c>
      <c r="E199" s="5" t="s">
        <v>506</v>
      </c>
      <c r="F199" s="5" t="s">
        <v>512</v>
      </c>
      <c r="G199" s="5" t="s">
        <v>240</v>
      </c>
      <c r="H199" s="5" t="s">
        <v>102</v>
      </c>
      <c r="I199" s="3">
        <v>21000</v>
      </c>
      <c r="J199" s="5" t="s">
        <v>598</v>
      </c>
      <c r="K199" s="6">
        <v>45854</v>
      </c>
      <c r="L199" s="6">
        <v>46022</v>
      </c>
      <c r="M199" s="5" t="str">
        <f>[1]Звіт!C197</f>
        <v>Виконано</v>
      </c>
    </row>
    <row r="200" spans="1:13" s="2" customFormat="1" ht="51.75" x14ac:dyDescent="0.25">
      <c r="A200" s="3">
        <v>196</v>
      </c>
      <c r="B200" s="4" t="str">
        <f>HYPERLINK("https://my.zakupivli.pro/remote/dispatcher/state_purchase_view/59639306", "UA-2025-05-23-008132-a")</f>
        <v>UA-2025-05-23-008132-a</v>
      </c>
      <c r="C200" s="5" t="s">
        <v>493</v>
      </c>
      <c r="D200" s="5" t="s">
        <v>10</v>
      </c>
      <c r="E200" s="5" t="s">
        <v>506</v>
      </c>
      <c r="F200" s="5" t="s">
        <v>591</v>
      </c>
      <c r="G200" s="5" t="s">
        <v>160</v>
      </c>
      <c r="H200" s="5" t="s">
        <v>54</v>
      </c>
      <c r="I200" s="3">
        <v>2088</v>
      </c>
      <c r="J200" s="5" t="s">
        <v>598</v>
      </c>
      <c r="K200" s="6">
        <v>45800</v>
      </c>
      <c r="L200" s="6">
        <v>46022</v>
      </c>
      <c r="M200" s="5" t="str">
        <f>[1]Звіт!C198</f>
        <v>Виконано</v>
      </c>
    </row>
    <row r="201" spans="1:13" s="2" customFormat="1" ht="39" x14ac:dyDescent="0.25">
      <c r="A201" s="3">
        <v>197</v>
      </c>
      <c r="B201" s="4" t="str">
        <f>HYPERLINK("https://my.zakupivli.pro/remote/dispatcher/state_purchase_view/59640044", "UA-2025-05-23-008517-a")</f>
        <v>UA-2025-05-23-008517-a</v>
      </c>
      <c r="C201" s="5" t="s">
        <v>490</v>
      </c>
      <c r="D201" s="5" t="s">
        <v>95</v>
      </c>
      <c r="E201" s="5" t="s">
        <v>506</v>
      </c>
      <c r="F201" s="5" t="s">
        <v>591</v>
      </c>
      <c r="G201" s="5" t="s">
        <v>160</v>
      </c>
      <c r="H201" s="5" t="s">
        <v>58</v>
      </c>
      <c r="I201" s="3">
        <v>2900</v>
      </c>
      <c r="J201" s="5" t="s">
        <v>598</v>
      </c>
      <c r="K201" s="6">
        <v>45800</v>
      </c>
      <c r="L201" s="6">
        <v>46022</v>
      </c>
      <c r="M201" s="5" t="str">
        <f>[1]Звіт!C199</f>
        <v>Виконано</v>
      </c>
    </row>
    <row r="202" spans="1:13" s="2" customFormat="1" ht="64.5" x14ac:dyDescent="0.25">
      <c r="A202" s="3">
        <v>198</v>
      </c>
      <c r="B202" s="4" t="str">
        <f>HYPERLINK("https://my.zakupivli.pro/remote/dispatcher/state_purchase_view/59129304", "UA-2025-05-02-003325-a")</f>
        <v>UA-2025-05-02-003325-a</v>
      </c>
      <c r="C202" s="5" t="s">
        <v>751</v>
      </c>
      <c r="D202" s="5" t="s">
        <v>344</v>
      </c>
      <c r="E202" s="5" t="s">
        <v>506</v>
      </c>
      <c r="F202" s="5" t="s">
        <v>554</v>
      </c>
      <c r="G202" s="5" t="s">
        <v>281</v>
      </c>
      <c r="H202" s="5" t="s">
        <v>170</v>
      </c>
      <c r="I202" s="3">
        <v>99990</v>
      </c>
      <c r="J202" s="5" t="s">
        <v>598</v>
      </c>
      <c r="K202" s="6">
        <v>45779</v>
      </c>
      <c r="L202" s="6">
        <v>46022</v>
      </c>
      <c r="M202" s="5" t="str">
        <f>[1]Звіт!C200</f>
        <v>Виконано</v>
      </c>
    </row>
    <row r="203" spans="1:13" s="2" customFormat="1" ht="26.25" x14ac:dyDescent="0.25">
      <c r="A203" s="3">
        <v>199</v>
      </c>
      <c r="B203" s="4" t="str">
        <f>HYPERLINK("https://my.zakupivli.pro/remote/dispatcher/state_purchase_view/57011226", "UA-2025-01-29-004465-a")</f>
        <v>UA-2025-01-29-004465-a</v>
      </c>
      <c r="C203" s="5" t="s">
        <v>721</v>
      </c>
      <c r="D203" s="5" t="s">
        <v>82</v>
      </c>
      <c r="E203" s="5" t="s">
        <v>508</v>
      </c>
      <c r="F203" s="5" t="s">
        <v>465</v>
      </c>
      <c r="G203" s="5" t="s">
        <v>236</v>
      </c>
      <c r="H203" s="5" t="s">
        <v>338</v>
      </c>
      <c r="I203" s="7">
        <v>362400</v>
      </c>
      <c r="J203" s="5" t="s">
        <v>705</v>
      </c>
      <c r="K203" s="6">
        <v>45694</v>
      </c>
      <c r="L203" s="6">
        <v>46022</v>
      </c>
      <c r="M203" s="5" t="str">
        <f>[1]Звіт!C201</f>
        <v>Виконано</v>
      </c>
    </row>
    <row r="204" spans="1:13" s="2" customFormat="1" ht="26.25" x14ac:dyDescent="0.25">
      <c r="A204" s="3">
        <v>200</v>
      </c>
      <c r="B204" s="4" t="str">
        <f>HYPERLINK("https://my.zakupivli.pro/remote/dispatcher/state_purchase_view/59441711", "UA-2025-05-15-003759-a")</f>
        <v>UA-2025-05-15-003759-a</v>
      </c>
      <c r="C204" s="5" t="s">
        <v>835</v>
      </c>
      <c r="D204" s="5" t="s">
        <v>352</v>
      </c>
      <c r="E204" s="5" t="s">
        <v>506</v>
      </c>
      <c r="F204" s="5" t="s">
        <v>525</v>
      </c>
      <c r="G204" s="5" t="s">
        <v>205</v>
      </c>
      <c r="H204" s="5" t="s">
        <v>47</v>
      </c>
      <c r="I204" s="3">
        <v>185</v>
      </c>
      <c r="J204" s="5" t="s">
        <v>598</v>
      </c>
      <c r="K204" s="6">
        <v>45792</v>
      </c>
      <c r="L204" s="6">
        <v>46022</v>
      </c>
      <c r="M204" s="5" t="str">
        <f>[1]Звіт!C202</f>
        <v>Виконано</v>
      </c>
    </row>
    <row r="205" spans="1:13" s="2" customFormat="1" ht="51.75" x14ac:dyDescent="0.25">
      <c r="A205" s="3">
        <v>201</v>
      </c>
      <c r="B205" s="4" t="str">
        <f>HYPERLINK("https://my.zakupivli.pro/remote/dispatcher/state_purchase_view/60086846", "UA-2025-06-13-005365-a")</f>
        <v>UA-2025-06-13-005365-a</v>
      </c>
      <c r="C205" s="5" t="s">
        <v>493</v>
      </c>
      <c r="D205" s="5" t="s">
        <v>10</v>
      </c>
      <c r="E205" s="5" t="s">
        <v>506</v>
      </c>
      <c r="F205" s="5" t="s">
        <v>591</v>
      </c>
      <c r="G205" s="5" t="s">
        <v>160</v>
      </c>
      <c r="H205" s="5" t="s">
        <v>73</v>
      </c>
      <c r="I205" s="3">
        <v>4320</v>
      </c>
      <c r="J205" s="5" t="s">
        <v>598</v>
      </c>
      <c r="K205" s="6">
        <v>45821</v>
      </c>
      <c r="L205" s="6">
        <v>46022</v>
      </c>
      <c r="M205" s="5" t="str">
        <f>[1]Звіт!C203</f>
        <v>Виконано</v>
      </c>
    </row>
    <row r="206" spans="1:13" s="2" customFormat="1" ht="26.25" x14ac:dyDescent="0.25">
      <c r="A206" s="3">
        <v>202</v>
      </c>
      <c r="B206" s="4" t="str">
        <f>HYPERLINK("https://my.zakupivli.pro/remote/dispatcher/state_purchase_view/60969875", "UA-2025-07-29-001899-a")</f>
        <v>UA-2025-07-29-001899-a</v>
      </c>
      <c r="C206" s="5" t="s">
        <v>782</v>
      </c>
      <c r="D206" s="5" t="s">
        <v>354</v>
      </c>
      <c r="E206" s="5" t="s">
        <v>506</v>
      </c>
      <c r="F206" s="5" t="s">
        <v>466</v>
      </c>
      <c r="G206" s="5" t="s">
        <v>206</v>
      </c>
      <c r="H206" s="5" t="s">
        <v>116</v>
      </c>
      <c r="I206" s="3">
        <v>307</v>
      </c>
      <c r="J206" s="5" t="s">
        <v>598</v>
      </c>
      <c r="K206" s="6">
        <v>45867</v>
      </c>
      <c r="L206" s="6">
        <v>46022</v>
      </c>
      <c r="M206" s="5" t="str">
        <f>[1]Звіт!C204</f>
        <v>Виконано</v>
      </c>
    </row>
    <row r="207" spans="1:13" s="2" customFormat="1" ht="26.25" x14ac:dyDescent="0.25">
      <c r="A207" s="3">
        <v>203</v>
      </c>
      <c r="B207" s="4" t="str">
        <f>HYPERLINK("https://my.zakupivli.pro/remote/dispatcher/state_purchase_view/61215036", "UA-2025-08-11-008028-a")</f>
        <v>UA-2025-08-11-008028-a</v>
      </c>
      <c r="C207" s="5" t="s">
        <v>831</v>
      </c>
      <c r="D207" s="5" t="s">
        <v>268</v>
      </c>
      <c r="E207" s="5" t="s">
        <v>506</v>
      </c>
      <c r="F207" s="5" t="s">
        <v>576</v>
      </c>
      <c r="G207" s="5" t="s">
        <v>250</v>
      </c>
      <c r="H207" s="5" t="s">
        <v>36</v>
      </c>
      <c r="I207" s="3">
        <v>1994</v>
      </c>
      <c r="J207" s="5" t="s">
        <v>598</v>
      </c>
      <c r="K207" s="6">
        <v>45880</v>
      </c>
      <c r="L207" s="6">
        <v>46022</v>
      </c>
      <c r="M207" s="5" t="str">
        <f>[1]Звіт!C205</f>
        <v>Виконано</v>
      </c>
    </row>
    <row r="208" spans="1:13" s="2" customFormat="1" ht="51.75" x14ac:dyDescent="0.25">
      <c r="A208" s="3">
        <v>204</v>
      </c>
      <c r="B208" s="4" t="str">
        <f>HYPERLINK("https://my.zakupivli.pro/remote/dispatcher/state_purchase_view/64256248", "UA-2025-12-09-011291-a")</f>
        <v>UA-2025-12-09-011291-a</v>
      </c>
      <c r="C208" s="5" t="s">
        <v>846</v>
      </c>
      <c r="D208" s="5" t="s">
        <v>168</v>
      </c>
      <c r="E208" s="5" t="s">
        <v>506</v>
      </c>
      <c r="F208" s="5" t="s">
        <v>726</v>
      </c>
      <c r="G208" s="5" t="s">
        <v>197</v>
      </c>
      <c r="H208" s="5" t="s">
        <v>159</v>
      </c>
      <c r="I208" s="3">
        <v>1140</v>
      </c>
      <c r="J208" s="5" t="s">
        <v>598</v>
      </c>
      <c r="K208" s="6">
        <v>46000</v>
      </c>
      <c r="L208" s="6">
        <v>46022</v>
      </c>
      <c r="M208" s="5" t="str">
        <f>[1]Звіт!C206</f>
        <v>Виконано</v>
      </c>
    </row>
    <row r="209" spans="1:13" s="2" customFormat="1" ht="51.75" x14ac:dyDescent="0.25">
      <c r="A209" s="3">
        <v>205</v>
      </c>
      <c r="B209" s="4" t="str">
        <f>HYPERLINK("https://my.zakupivli.pro/remote/dispatcher/state_purchase_view/63599691", "UA-2025-11-19-003027-a")</f>
        <v>UA-2025-11-19-003027-a</v>
      </c>
      <c r="C209" s="5" t="s">
        <v>861</v>
      </c>
      <c r="D209" s="5" t="s">
        <v>306</v>
      </c>
      <c r="E209" s="5" t="s">
        <v>506</v>
      </c>
      <c r="F209" s="5" t="s">
        <v>466</v>
      </c>
      <c r="G209" s="5" t="s">
        <v>206</v>
      </c>
      <c r="H209" s="5" t="s">
        <v>147</v>
      </c>
      <c r="I209" s="3">
        <v>342</v>
      </c>
      <c r="J209" s="5" t="s">
        <v>598</v>
      </c>
      <c r="K209" s="6">
        <v>45980</v>
      </c>
      <c r="L209" s="6">
        <v>46022</v>
      </c>
      <c r="M209" s="5" t="str">
        <f>[1]Звіт!C207</f>
        <v>Виконано</v>
      </c>
    </row>
    <row r="210" spans="1:13" s="2" customFormat="1" ht="26.25" x14ac:dyDescent="0.25">
      <c r="A210" s="3">
        <v>206</v>
      </c>
      <c r="B210" s="4" t="str">
        <f>HYPERLINK("https://my.zakupivli.pro/remote/dispatcher/state_purchase_view/64298125", "UA-2025-12-10-006839-a")</f>
        <v>UA-2025-12-10-006839-a</v>
      </c>
      <c r="C210" s="5" t="s">
        <v>748</v>
      </c>
      <c r="D210" s="5" t="s">
        <v>360</v>
      </c>
      <c r="E210" s="5" t="s">
        <v>506</v>
      </c>
      <c r="F210" s="5" t="s">
        <v>514</v>
      </c>
      <c r="G210" s="5" t="s">
        <v>173</v>
      </c>
      <c r="H210" s="5" t="s">
        <v>163</v>
      </c>
      <c r="I210" s="3">
        <v>2895</v>
      </c>
      <c r="J210" s="5" t="s">
        <v>598</v>
      </c>
      <c r="K210" s="6">
        <v>46001</v>
      </c>
      <c r="L210" s="6">
        <v>46022</v>
      </c>
      <c r="M210" s="5" t="str">
        <f>[1]Звіт!C208</f>
        <v>Виконано</v>
      </c>
    </row>
    <row r="211" spans="1:13" s="2" customFormat="1" ht="26.25" x14ac:dyDescent="0.25">
      <c r="A211" s="3">
        <v>207</v>
      </c>
      <c r="B211" s="4" t="str">
        <f>HYPERLINK("https://my.zakupivli.pro/remote/dispatcher/state_purchase_view/64299725", "UA-2025-12-10-007436-a")</f>
        <v>UA-2025-12-10-007436-a</v>
      </c>
      <c r="C211" s="5" t="s">
        <v>841</v>
      </c>
      <c r="D211" s="5" t="s">
        <v>352</v>
      </c>
      <c r="E211" s="5" t="s">
        <v>506</v>
      </c>
      <c r="F211" s="5" t="s">
        <v>514</v>
      </c>
      <c r="G211" s="5" t="s">
        <v>173</v>
      </c>
      <c r="H211" s="5" t="s">
        <v>163</v>
      </c>
      <c r="I211" s="3">
        <v>180</v>
      </c>
      <c r="J211" s="5" t="s">
        <v>598</v>
      </c>
      <c r="K211" s="6">
        <v>46001</v>
      </c>
      <c r="L211" s="6">
        <v>46022</v>
      </c>
      <c r="M211" s="5" t="str">
        <f>[1]Звіт!C209</f>
        <v>Виконано</v>
      </c>
    </row>
    <row r="212" spans="1:13" s="2" customFormat="1" ht="39" x14ac:dyDescent="0.25">
      <c r="A212" s="3">
        <v>208</v>
      </c>
      <c r="B212" s="4" t="str">
        <f>HYPERLINK("https://my.zakupivli.pro/remote/dispatcher/state_purchase_view/59898769", "UA-2025-06-05-001749-a")</f>
        <v>UA-2025-06-05-001749-a</v>
      </c>
      <c r="C212" s="5" t="s">
        <v>648</v>
      </c>
      <c r="D212" s="5" t="s">
        <v>340</v>
      </c>
      <c r="E212" s="5" t="s">
        <v>506</v>
      </c>
      <c r="F212" s="5" t="s">
        <v>682</v>
      </c>
      <c r="G212" s="5" t="s">
        <v>242</v>
      </c>
      <c r="H212" s="5" t="s">
        <v>178</v>
      </c>
      <c r="I212" s="7">
        <v>527.17999999999995</v>
      </c>
      <c r="J212" s="5" t="s">
        <v>705</v>
      </c>
      <c r="K212" s="6">
        <v>45813</v>
      </c>
      <c r="L212" s="6">
        <v>46022</v>
      </c>
      <c r="M212" s="5" t="str">
        <f>[1]Звіт!C210</f>
        <v>Виконано</v>
      </c>
    </row>
    <row r="213" spans="1:13" s="2" customFormat="1" ht="26.25" x14ac:dyDescent="0.25">
      <c r="A213" s="3">
        <v>209</v>
      </c>
      <c r="B213" s="4" t="str">
        <f>HYPERLINK("https://my.zakupivli.pro/remote/dispatcher/state_purchase_view/59898967", "UA-2025-06-05-001858-a")</f>
        <v>UA-2025-06-05-001858-a</v>
      </c>
      <c r="C213" s="5" t="s">
        <v>738</v>
      </c>
      <c r="D213" s="5" t="s">
        <v>354</v>
      </c>
      <c r="E213" s="5" t="s">
        <v>506</v>
      </c>
      <c r="F213" s="5" t="s">
        <v>682</v>
      </c>
      <c r="G213" s="5" t="s">
        <v>242</v>
      </c>
      <c r="H213" s="5" t="s">
        <v>178</v>
      </c>
      <c r="I213" s="7">
        <v>1557.35</v>
      </c>
      <c r="J213" s="5" t="s">
        <v>705</v>
      </c>
      <c r="K213" s="6">
        <v>45813</v>
      </c>
      <c r="L213" s="6">
        <v>46022</v>
      </c>
      <c r="M213" s="5" t="str">
        <f>[1]Звіт!C211</f>
        <v>Виконано</v>
      </c>
    </row>
    <row r="214" spans="1:13" s="2" customFormat="1" ht="345" x14ac:dyDescent="0.25">
      <c r="A214" s="3">
        <v>210</v>
      </c>
      <c r="B214" s="4" t="str">
        <f>HYPERLINK("https://my.zakupivli.pro/remote/dispatcher/state_purchase_view/62594414", "UA-2025-10-13-002363-a")</f>
        <v>UA-2025-10-13-002363-a</v>
      </c>
      <c r="C214" s="5" t="s">
        <v>589</v>
      </c>
      <c r="D214" s="5" t="s">
        <v>266</v>
      </c>
      <c r="E214" s="5" t="s">
        <v>479</v>
      </c>
      <c r="F214" s="5" t="s">
        <v>718</v>
      </c>
      <c r="G214" s="5" t="s">
        <v>197</v>
      </c>
      <c r="H214" s="5" t="s">
        <v>142</v>
      </c>
      <c r="I214" s="7">
        <v>66806</v>
      </c>
      <c r="J214" s="5" t="s">
        <v>598</v>
      </c>
      <c r="K214" s="6">
        <v>45961</v>
      </c>
      <c r="L214" s="6">
        <v>46022</v>
      </c>
      <c r="M214" s="5" t="str">
        <f>[1]Звіт!C212</f>
        <v>Виконано</v>
      </c>
    </row>
    <row r="215" spans="1:13" s="2" customFormat="1" ht="39" x14ac:dyDescent="0.25">
      <c r="A215" s="3">
        <v>211</v>
      </c>
      <c r="B215" s="4" t="str">
        <f>HYPERLINK("https://my.zakupivli.pro/remote/dispatcher/state_purchase_view/65028685", "UA-2025-12-30-006452-a")</f>
        <v>UA-2025-12-30-006452-a</v>
      </c>
      <c r="C215" s="5" t="s">
        <v>484</v>
      </c>
      <c r="D215" s="5" t="s">
        <v>90</v>
      </c>
      <c r="E215" s="5" t="s">
        <v>506</v>
      </c>
      <c r="F215" s="5" t="s">
        <v>564</v>
      </c>
      <c r="G215" s="5" t="s">
        <v>231</v>
      </c>
      <c r="H215" s="5" t="s">
        <v>184</v>
      </c>
      <c r="I215" s="3">
        <v>23250</v>
      </c>
      <c r="J215" s="5" t="s">
        <v>598</v>
      </c>
      <c r="K215" s="6">
        <v>46021</v>
      </c>
      <c r="L215" s="6">
        <v>46022</v>
      </c>
      <c r="M215" s="5" t="str">
        <f>[1]Звіт!C213</f>
        <v>Виконано</v>
      </c>
    </row>
    <row r="216" spans="1:13" s="2" customFormat="1" ht="39" x14ac:dyDescent="0.25">
      <c r="A216" s="3">
        <v>212</v>
      </c>
      <c r="B216" s="4" t="str">
        <f>HYPERLINK("https://my.zakupivli.pro/remote/dispatcher/state_purchase_view/57541742", "UA-2025-02-18-007832-a")</f>
        <v>UA-2025-02-18-007832-a</v>
      </c>
      <c r="C216" s="5" t="s">
        <v>812</v>
      </c>
      <c r="D216" s="5" t="s">
        <v>343</v>
      </c>
      <c r="E216" s="5" t="s">
        <v>506</v>
      </c>
      <c r="F216" s="5" t="s">
        <v>685</v>
      </c>
      <c r="G216" s="5" t="s">
        <v>326</v>
      </c>
      <c r="H216" s="5" t="s">
        <v>369</v>
      </c>
      <c r="I216" s="7">
        <v>41010.050000000003</v>
      </c>
      <c r="J216" s="5" t="s">
        <v>705</v>
      </c>
      <c r="K216" s="6">
        <v>45706</v>
      </c>
      <c r="L216" s="6">
        <v>46022</v>
      </c>
      <c r="M216" s="5" t="str">
        <f>[1]Звіт!C214</f>
        <v>Виконано</v>
      </c>
    </row>
    <row r="217" spans="1:13" s="2" customFormat="1" ht="39" x14ac:dyDescent="0.25">
      <c r="A217" s="3">
        <v>213</v>
      </c>
      <c r="B217" s="4" t="str">
        <f>HYPERLINK("https://my.zakupivli.pro/remote/dispatcher/state_purchase_view/57669508", "UA-2025-02-24-009467-a")</f>
        <v>UA-2025-02-24-009467-a</v>
      </c>
      <c r="C217" s="5" t="s">
        <v>802</v>
      </c>
      <c r="D217" s="5" t="s">
        <v>72</v>
      </c>
      <c r="E217" s="5" t="s">
        <v>506</v>
      </c>
      <c r="F217" s="5" t="s">
        <v>684</v>
      </c>
      <c r="G217" s="5" t="s">
        <v>219</v>
      </c>
      <c r="H217" s="5" t="s">
        <v>373</v>
      </c>
      <c r="I217" s="3">
        <v>33600</v>
      </c>
      <c r="J217" s="5" t="s">
        <v>598</v>
      </c>
      <c r="K217" s="6">
        <v>45712</v>
      </c>
      <c r="L217" s="6">
        <v>46022</v>
      </c>
      <c r="M217" s="5" t="str">
        <f>[1]Звіт!C215</f>
        <v>Виконано</v>
      </c>
    </row>
    <row r="218" spans="1:13" s="2" customFormat="1" ht="26.25" x14ac:dyDescent="0.25">
      <c r="A218" s="3">
        <v>214</v>
      </c>
      <c r="B218" s="4" t="str">
        <f>HYPERLINK("https://my.zakupivli.pro/remote/dispatcher/state_purchase_view/58412325", "UA-2025-03-28-005509-a")</f>
        <v>UA-2025-03-28-005509-a</v>
      </c>
      <c r="C218" s="5" t="s">
        <v>739</v>
      </c>
      <c r="D218" s="5" t="s">
        <v>352</v>
      </c>
      <c r="E218" s="5" t="s">
        <v>506</v>
      </c>
      <c r="F218" s="5" t="s">
        <v>525</v>
      </c>
      <c r="G218" s="5" t="s">
        <v>205</v>
      </c>
      <c r="H218" s="5" t="s">
        <v>421</v>
      </c>
      <c r="I218" s="3">
        <v>556</v>
      </c>
      <c r="J218" s="5" t="s">
        <v>598</v>
      </c>
      <c r="K218" s="6">
        <v>45744</v>
      </c>
      <c r="L218" s="6">
        <v>46022</v>
      </c>
      <c r="M218" s="5" t="str">
        <f>[1]Звіт!C216</f>
        <v>Виконано</v>
      </c>
    </row>
    <row r="219" spans="1:13" s="2" customFormat="1" ht="39" x14ac:dyDescent="0.25">
      <c r="A219" s="3">
        <v>215</v>
      </c>
      <c r="B219" s="4" t="str">
        <f>HYPERLINK("https://my.zakupivli.pro/remote/dispatcher/state_purchase_view/58324756", "UA-2025-03-25-005452-a")</f>
        <v>UA-2025-03-25-005452-a</v>
      </c>
      <c r="C219" s="5" t="s">
        <v>763</v>
      </c>
      <c r="D219" s="5" t="s">
        <v>217</v>
      </c>
      <c r="E219" s="5" t="s">
        <v>506</v>
      </c>
      <c r="F219" s="5" t="s">
        <v>474</v>
      </c>
      <c r="G219" s="5" t="s">
        <v>280</v>
      </c>
      <c r="H219" s="5" t="s">
        <v>415</v>
      </c>
      <c r="I219" s="3">
        <v>5951</v>
      </c>
      <c r="J219" s="5" t="s">
        <v>598</v>
      </c>
      <c r="K219" s="6">
        <v>45741</v>
      </c>
      <c r="L219" s="6">
        <v>46022</v>
      </c>
      <c r="M219" s="5" t="str">
        <f>[1]Звіт!C217</f>
        <v>Виконано</v>
      </c>
    </row>
    <row r="220" spans="1:13" s="2" customFormat="1" ht="26.25" x14ac:dyDescent="0.25">
      <c r="A220" s="3">
        <v>216</v>
      </c>
      <c r="B220" s="4" t="str">
        <f>HYPERLINK("https://my.zakupivli.pro/remote/dispatcher/state_purchase_view/56599715", "UA-2025-01-16-005867-a")</f>
        <v>UA-2025-01-16-005867-a</v>
      </c>
      <c r="C220" s="5" t="s">
        <v>783</v>
      </c>
      <c r="D220" s="5" t="s">
        <v>337</v>
      </c>
      <c r="E220" s="5" t="s">
        <v>506</v>
      </c>
      <c r="F220" s="5" t="s">
        <v>463</v>
      </c>
      <c r="G220" s="5" t="s">
        <v>246</v>
      </c>
      <c r="H220" s="5" t="s">
        <v>113</v>
      </c>
      <c r="I220" s="7">
        <v>19681.14</v>
      </c>
      <c r="J220" s="5" t="s">
        <v>598</v>
      </c>
      <c r="K220" s="6">
        <v>45673</v>
      </c>
      <c r="L220" s="6">
        <v>46022</v>
      </c>
      <c r="M220" s="5" t="str">
        <f>[1]Звіт!C218</f>
        <v>Виконано</v>
      </c>
    </row>
    <row r="221" spans="1:13" s="2" customFormat="1" ht="51.75" x14ac:dyDescent="0.25">
      <c r="A221" s="3">
        <v>217</v>
      </c>
      <c r="B221" s="4" t="str">
        <f>HYPERLINK("https://my.zakupivli.pro/remote/dispatcher/state_purchase_view/56941297", "UA-2025-01-27-012503-a")</f>
        <v>UA-2025-01-27-012503-a</v>
      </c>
      <c r="C221" s="5" t="s">
        <v>228</v>
      </c>
      <c r="D221" s="5" t="s">
        <v>228</v>
      </c>
      <c r="E221" s="5" t="s">
        <v>506</v>
      </c>
      <c r="F221" s="5" t="s">
        <v>696</v>
      </c>
      <c r="G221" s="5" t="s">
        <v>275</v>
      </c>
      <c r="H221" s="5" t="s">
        <v>19</v>
      </c>
      <c r="I221" s="7">
        <v>480.07</v>
      </c>
      <c r="J221" s="5" t="s">
        <v>705</v>
      </c>
      <c r="K221" s="6">
        <v>45684</v>
      </c>
      <c r="L221" s="6">
        <v>46022</v>
      </c>
      <c r="M221" s="5" t="str">
        <f>[1]Звіт!C219</f>
        <v>Виконано</v>
      </c>
    </row>
    <row r="222" spans="1:13" s="2" customFormat="1" ht="51.75" x14ac:dyDescent="0.25">
      <c r="A222" s="3">
        <v>218</v>
      </c>
      <c r="B222" s="4" t="str">
        <f>HYPERLINK("https://my.zakupivli.pro/remote/dispatcher/state_purchase_view/56974514", "UA-2025-01-28-007905-a")</f>
        <v>UA-2025-01-28-007905-a</v>
      </c>
      <c r="C222" s="5" t="s">
        <v>633</v>
      </c>
      <c r="D222" s="5" t="s">
        <v>427</v>
      </c>
      <c r="E222" s="5" t="s">
        <v>506</v>
      </c>
      <c r="F222" s="5" t="s">
        <v>699</v>
      </c>
      <c r="G222" s="5" t="s">
        <v>152</v>
      </c>
      <c r="H222" s="5" t="s">
        <v>135</v>
      </c>
      <c r="I222" s="3">
        <v>8700</v>
      </c>
      <c r="J222" s="5" t="s">
        <v>598</v>
      </c>
      <c r="K222" s="6">
        <v>45685</v>
      </c>
      <c r="L222" s="6">
        <v>46022</v>
      </c>
      <c r="M222" s="5" t="str">
        <f>[1]Звіт!C220</f>
        <v>Виконано</v>
      </c>
    </row>
    <row r="223" spans="1:13" s="2" customFormat="1" ht="77.25" x14ac:dyDescent="0.25">
      <c r="A223" s="3">
        <v>219</v>
      </c>
      <c r="B223" s="4" t="str">
        <f>HYPERLINK("https://my.zakupivli.pro/remote/dispatcher/state_purchase_view/56312946", "UA-2025-01-01-001368-a")</f>
        <v>UA-2025-01-01-001368-a</v>
      </c>
      <c r="C223" s="5" t="s">
        <v>551</v>
      </c>
      <c r="D223" s="5" t="s">
        <v>425</v>
      </c>
      <c r="E223" s="5" t="s">
        <v>506</v>
      </c>
      <c r="F223" s="5" t="s">
        <v>711</v>
      </c>
      <c r="G223" s="5" t="s">
        <v>318</v>
      </c>
      <c r="H223" s="5" t="s">
        <v>241</v>
      </c>
      <c r="I223" s="3">
        <v>6420</v>
      </c>
      <c r="J223" s="5" t="s">
        <v>705</v>
      </c>
      <c r="K223" s="6">
        <v>45658</v>
      </c>
      <c r="L223" s="6">
        <v>46022</v>
      </c>
      <c r="M223" s="5" t="str">
        <f>[1]Звіт!C221</f>
        <v>Виконано</v>
      </c>
    </row>
    <row r="224" spans="1:13" s="2" customFormat="1" ht="51.75" x14ac:dyDescent="0.25">
      <c r="A224" s="3">
        <v>220</v>
      </c>
      <c r="B224" s="4" t="str">
        <f>HYPERLINK("https://my.zakupivli.pro/remote/dispatcher/state_purchase_view/58129395", "UA-2025-03-17-004848-a")</f>
        <v>UA-2025-03-17-004848-a</v>
      </c>
      <c r="C224" s="5" t="s">
        <v>796</v>
      </c>
      <c r="D224" s="5" t="s">
        <v>306</v>
      </c>
      <c r="E224" s="5" t="s">
        <v>506</v>
      </c>
      <c r="F224" s="5" t="s">
        <v>514</v>
      </c>
      <c r="G224" s="5" t="s">
        <v>173</v>
      </c>
      <c r="H224" s="5" t="s">
        <v>397</v>
      </c>
      <c r="I224" s="3">
        <v>1316</v>
      </c>
      <c r="J224" s="5" t="s">
        <v>598</v>
      </c>
      <c r="K224" s="6">
        <v>45733</v>
      </c>
      <c r="L224" s="6">
        <v>46022</v>
      </c>
      <c r="M224" s="5" t="str">
        <f>[1]Звіт!C222</f>
        <v>Виконано</v>
      </c>
    </row>
    <row r="225" spans="1:13" s="2" customFormat="1" ht="26.25" x14ac:dyDescent="0.25">
      <c r="A225" s="3">
        <v>221</v>
      </c>
      <c r="B225" s="4" t="str">
        <f>HYPERLINK("https://my.zakupivli.pro/remote/dispatcher/state_purchase_view/58130017", "UA-2025-03-17-005133-a")</f>
        <v>UA-2025-03-17-005133-a</v>
      </c>
      <c r="C225" s="5" t="s">
        <v>764</v>
      </c>
      <c r="D225" s="5" t="s">
        <v>185</v>
      </c>
      <c r="E225" s="5" t="s">
        <v>506</v>
      </c>
      <c r="F225" s="5" t="s">
        <v>514</v>
      </c>
      <c r="G225" s="5" t="s">
        <v>173</v>
      </c>
      <c r="H225" s="5" t="s">
        <v>397</v>
      </c>
      <c r="I225" s="3">
        <v>1140</v>
      </c>
      <c r="J225" s="5" t="s">
        <v>598</v>
      </c>
      <c r="K225" s="6">
        <v>45733</v>
      </c>
      <c r="L225" s="6">
        <v>46022</v>
      </c>
      <c r="M225" s="5" t="str">
        <f>[1]Звіт!C223</f>
        <v>Виконано</v>
      </c>
    </row>
    <row r="226" spans="1:13" s="2" customFormat="1" ht="26.25" x14ac:dyDescent="0.25">
      <c r="A226" s="3">
        <v>222</v>
      </c>
      <c r="B226" s="4" t="str">
        <f>HYPERLINK("https://my.zakupivli.pro/remote/dispatcher/state_purchase_view/58130126", "UA-2025-03-17-005204-a")</f>
        <v>UA-2025-03-17-005204-a</v>
      </c>
      <c r="C226" s="5" t="s">
        <v>822</v>
      </c>
      <c r="D226" s="5" t="s">
        <v>346</v>
      </c>
      <c r="E226" s="5" t="s">
        <v>506</v>
      </c>
      <c r="F226" s="5" t="s">
        <v>514</v>
      </c>
      <c r="G226" s="5" t="s">
        <v>173</v>
      </c>
      <c r="H226" s="5" t="s">
        <v>397</v>
      </c>
      <c r="I226" s="3">
        <v>1260</v>
      </c>
      <c r="J226" s="5" t="s">
        <v>598</v>
      </c>
      <c r="K226" s="6">
        <v>45733</v>
      </c>
      <c r="L226" s="6">
        <v>46022</v>
      </c>
      <c r="M226" s="5" t="str">
        <f>[1]Звіт!C224</f>
        <v>Виконано</v>
      </c>
    </row>
    <row r="227" spans="1:13" s="2" customFormat="1" ht="26.25" x14ac:dyDescent="0.25">
      <c r="A227" s="3">
        <v>223</v>
      </c>
      <c r="B227" s="4" t="str">
        <f>HYPERLINK("https://my.zakupivli.pro/remote/dispatcher/state_purchase_view/58189418", "UA-2025-03-19-003011-a")</f>
        <v>UA-2025-03-19-003011-a</v>
      </c>
      <c r="C227" s="5" t="s">
        <v>521</v>
      </c>
      <c r="D227" s="5" t="s">
        <v>166</v>
      </c>
      <c r="E227" s="5" t="s">
        <v>506</v>
      </c>
      <c r="F227" s="5" t="s">
        <v>722</v>
      </c>
      <c r="G227" s="5" t="s">
        <v>218</v>
      </c>
      <c r="H227" s="5" t="s">
        <v>367</v>
      </c>
      <c r="I227" s="3">
        <v>454</v>
      </c>
      <c r="J227" s="5" t="s">
        <v>598</v>
      </c>
      <c r="K227" s="6">
        <v>45735</v>
      </c>
      <c r="L227" s="6">
        <v>46022</v>
      </c>
      <c r="M227" s="5" t="str">
        <f>[1]Звіт!C225</f>
        <v>Виконано</v>
      </c>
    </row>
    <row r="228" spans="1:13" s="2" customFormat="1" ht="39" x14ac:dyDescent="0.25">
      <c r="A228" s="3">
        <v>224</v>
      </c>
      <c r="B228" s="4" t="str">
        <f>HYPERLINK("https://my.zakupivli.pro/remote/dispatcher/state_purchase_view/62647754", "UA-2025-10-14-010132-a")</f>
        <v>UA-2025-10-14-010132-a</v>
      </c>
      <c r="C228" s="5" t="s">
        <v>1</v>
      </c>
      <c r="D228" s="5" t="s">
        <v>340</v>
      </c>
      <c r="E228" s="5" t="s">
        <v>506</v>
      </c>
      <c r="F228" s="5" t="s">
        <v>466</v>
      </c>
      <c r="G228" s="5" t="s">
        <v>206</v>
      </c>
      <c r="H228" s="5" t="s">
        <v>137</v>
      </c>
      <c r="I228" s="3">
        <v>2580</v>
      </c>
      <c r="J228" s="5" t="s">
        <v>598</v>
      </c>
      <c r="K228" s="6">
        <v>45944</v>
      </c>
      <c r="L228" s="6">
        <v>46022</v>
      </c>
      <c r="M228" s="5" t="str">
        <f>[1]Звіт!C226</f>
        <v>Виконано</v>
      </c>
    </row>
    <row r="229" spans="1:13" s="2" customFormat="1" ht="39" x14ac:dyDescent="0.25">
      <c r="A229" s="3">
        <v>225</v>
      </c>
      <c r="B229" s="4" t="str">
        <f>HYPERLINK("https://my.zakupivli.pro/remote/dispatcher/state_purchase_view/62647994", "UA-2025-10-14-010271-a")</f>
        <v>UA-2025-10-14-010271-a</v>
      </c>
      <c r="C229" s="5" t="s">
        <v>0</v>
      </c>
      <c r="D229" s="5" t="s">
        <v>235</v>
      </c>
      <c r="E229" s="5" t="s">
        <v>506</v>
      </c>
      <c r="F229" s="5" t="s">
        <v>466</v>
      </c>
      <c r="G229" s="5" t="s">
        <v>206</v>
      </c>
      <c r="H229" s="5" t="s">
        <v>137</v>
      </c>
      <c r="I229" s="3">
        <v>1330</v>
      </c>
      <c r="J229" s="5" t="s">
        <v>598</v>
      </c>
      <c r="K229" s="6">
        <v>45944</v>
      </c>
      <c r="L229" s="6">
        <v>46022</v>
      </c>
      <c r="M229" s="5" t="str">
        <f>[1]Звіт!C227</f>
        <v>Виконано</v>
      </c>
    </row>
    <row r="230" spans="1:13" s="2" customFormat="1" ht="26.25" x14ac:dyDescent="0.25">
      <c r="A230" s="3">
        <v>226</v>
      </c>
      <c r="B230" s="4" t="str">
        <f>HYPERLINK("https://my.zakupivli.pro/remote/dispatcher/state_purchase_view/62303346", "UA-2025-09-30-002442-a")</f>
        <v>UA-2025-09-30-002442-a</v>
      </c>
      <c r="C230" s="5" t="s">
        <v>857</v>
      </c>
      <c r="D230" s="5" t="s">
        <v>352</v>
      </c>
      <c r="E230" s="5" t="s">
        <v>506</v>
      </c>
      <c r="F230" s="5" t="s">
        <v>514</v>
      </c>
      <c r="G230" s="5" t="s">
        <v>173</v>
      </c>
      <c r="H230" s="5" t="s">
        <v>125</v>
      </c>
      <c r="I230" s="3">
        <v>450</v>
      </c>
      <c r="J230" s="5" t="s">
        <v>598</v>
      </c>
      <c r="K230" s="6">
        <v>45930</v>
      </c>
      <c r="L230" s="6">
        <v>46022</v>
      </c>
      <c r="M230" s="5" t="str">
        <f>[1]Звіт!C228</f>
        <v>Виконано</v>
      </c>
    </row>
    <row r="231" spans="1:13" s="2" customFormat="1" ht="26.25" x14ac:dyDescent="0.25">
      <c r="A231" s="3">
        <v>227</v>
      </c>
      <c r="B231" s="4" t="str">
        <f>HYPERLINK("https://my.zakupivli.pro/remote/dispatcher/state_purchase_view/60827393", "UA-2025-07-21-007038-a")</f>
        <v>UA-2025-07-21-007038-a</v>
      </c>
      <c r="C231" s="5" t="s">
        <v>760</v>
      </c>
      <c r="D231" s="5" t="s">
        <v>360</v>
      </c>
      <c r="E231" s="5" t="s">
        <v>506</v>
      </c>
      <c r="F231" s="5" t="s">
        <v>514</v>
      </c>
      <c r="G231" s="5" t="s">
        <v>173</v>
      </c>
      <c r="H231" s="5" t="s">
        <v>107</v>
      </c>
      <c r="I231" s="3">
        <v>980</v>
      </c>
      <c r="J231" s="5" t="s">
        <v>598</v>
      </c>
      <c r="K231" s="6">
        <v>45859</v>
      </c>
      <c r="L231" s="6">
        <v>46022</v>
      </c>
      <c r="M231" s="5" t="str">
        <f>[1]Звіт!C229</f>
        <v>Виконано</v>
      </c>
    </row>
    <row r="232" spans="1:13" s="2" customFormat="1" ht="26.25" x14ac:dyDescent="0.25">
      <c r="A232" s="3">
        <v>228</v>
      </c>
      <c r="B232" s="4" t="str">
        <f>HYPERLINK("https://my.zakupivli.pro/remote/dispatcher/state_purchase_view/60827858", "UA-2025-07-21-007226-a")</f>
        <v>UA-2025-07-21-007226-a</v>
      </c>
      <c r="C232" s="5" t="s">
        <v>848</v>
      </c>
      <c r="D232" s="5" t="s">
        <v>359</v>
      </c>
      <c r="E232" s="5" t="s">
        <v>506</v>
      </c>
      <c r="F232" s="5" t="s">
        <v>514</v>
      </c>
      <c r="G232" s="5" t="s">
        <v>173</v>
      </c>
      <c r="H232" s="5" t="s">
        <v>107</v>
      </c>
      <c r="I232" s="3">
        <v>310</v>
      </c>
      <c r="J232" s="5" t="s">
        <v>598</v>
      </c>
      <c r="K232" s="6">
        <v>45859</v>
      </c>
      <c r="L232" s="6">
        <v>46022</v>
      </c>
      <c r="M232" s="5" t="str">
        <f>[1]Звіт!C230</f>
        <v>Виконано</v>
      </c>
    </row>
    <row r="233" spans="1:13" s="2" customFormat="1" ht="26.25" x14ac:dyDescent="0.25">
      <c r="A233" s="3">
        <v>229</v>
      </c>
      <c r="B233" s="4" t="str">
        <f>HYPERLINK("https://my.zakupivli.pro/remote/dispatcher/state_purchase_view/60828402", "UA-2025-07-21-007449-a")</f>
        <v>UA-2025-07-21-007449-a</v>
      </c>
      <c r="C233" s="5" t="s">
        <v>765</v>
      </c>
      <c r="D233" s="5" t="s">
        <v>185</v>
      </c>
      <c r="E233" s="5" t="s">
        <v>506</v>
      </c>
      <c r="F233" s="5" t="s">
        <v>514</v>
      </c>
      <c r="G233" s="5" t="s">
        <v>173</v>
      </c>
      <c r="H233" s="5" t="s">
        <v>107</v>
      </c>
      <c r="I233" s="3">
        <v>580</v>
      </c>
      <c r="J233" s="5" t="s">
        <v>598</v>
      </c>
      <c r="K233" s="6">
        <v>45859</v>
      </c>
      <c r="L233" s="6">
        <v>46022</v>
      </c>
      <c r="M233" s="5" t="str">
        <f>[1]Звіт!C231</f>
        <v>Виконано</v>
      </c>
    </row>
    <row r="234" spans="1:13" s="2" customFormat="1" ht="26.25" x14ac:dyDescent="0.25">
      <c r="A234" s="3">
        <v>230</v>
      </c>
      <c r="B234" s="4" t="str">
        <f>HYPERLINK("https://my.zakupivli.pro/remote/dispatcher/state_purchase_view/56754752", "UA-2025-01-21-013102-a")</f>
        <v>UA-2025-01-21-013102-a</v>
      </c>
      <c r="C234" s="5" t="s">
        <v>569</v>
      </c>
      <c r="D234" s="5" t="s">
        <v>82</v>
      </c>
      <c r="E234" s="5" t="s">
        <v>508</v>
      </c>
      <c r="F234" s="5" t="s">
        <v>465</v>
      </c>
      <c r="G234" s="5" t="s">
        <v>236</v>
      </c>
      <c r="H234" s="5" t="s">
        <v>270</v>
      </c>
      <c r="I234" s="7">
        <v>308000</v>
      </c>
      <c r="J234" s="5" t="s">
        <v>705</v>
      </c>
      <c r="K234" s="6">
        <v>45685</v>
      </c>
      <c r="L234" s="6">
        <v>46022</v>
      </c>
      <c r="M234" s="5" t="str">
        <f>[1]Звіт!C232</f>
        <v>Виконано</v>
      </c>
    </row>
    <row r="235" spans="1:13" s="2" customFormat="1" ht="39" x14ac:dyDescent="0.25">
      <c r="A235" s="3">
        <v>231</v>
      </c>
      <c r="B235" s="4" t="str">
        <f>HYPERLINK("https://my.zakupivli.pro/remote/dispatcher/state_purchase_view/56525463", "UA-2025-01-14-009184-a")</f>
        <v>UA-2025-01-14-009184-a</v>
      </c>
      <c r="C235" s="5" t="s">
        <v>620</v>
      </c>
      <c r="D235" s="5" t="s">
        <v>23</v>
      </c>
      <c r="E235" s="5" t="s">
        <v>506</v>
      </c>
      <c r="F235" s="5" t="s">
        <v>523</v>
      </c>
      <c r="G235" s="5" t="s">
        <v>263</v>
      </c>
      <c r="H235" s="5" t="s">
        <v>672</v>
      </c>
      <c r="I235" s="3">
        <v>3755800</v>
      </c>
      <c r="J235" s="5" t="s">
        <v>705</v>
      </c>
      <c r="K235" s="6">
        <v>45671</v>
      </c>
      <c r="L235" s="6">
        <v>46022</v>
      </c>
      <c r="M235" s="5" t="str">
        <f>[1]Звіт!C233</f>
        <v>Виконано</v>
      </c>
    </row>
    <row r="236" spans="1:13" s="2" customFormat="1" ht="306.75" x14ac:dyDescent="0.25">
      <c r="A236" s="3">
        <v>232</v>
      </c>
      <c r="B236" s="4" t="str">
        <f>HYPERLINK("https://my.zakupivli.pro/remote/dispatcher/state_purchase_view/58409474", "UA-2025-03-28-004089-a")</f>
        <v>UA-2025-03-28-004089-a</v>
      </c>
      <c r="C236" s="5" t="s">
        <v>624</v>
      </c>
      <c r="D236" s="5" t="s">
        <v>253</v>
      </c>
      <c r="E236" s="5" t="s">
        <v>508</v>
      </c>
      <c r="F236" s="5" t="s">
        <v>674</v>
      </c>
      <c r="G236" s="5" t="s">
        <v>151</v>
      </c>
      <c r="H236" s="5" t="s">
        <v>436</v>
      </c>
      <c r="I236" s="7">
        <v>51788.959999999999</v>
      </c>
      <c r="J236" s="5" t="s">
        <v>705</v>
      </c>
      <c r="K236" s="6">
        <v>45751</v>
      </c>
      <c r="L236" s="6">
        <v>46022</v>
      </c>
      <c r="M236" s="5" t="str">
        <f>[1]Звіт!C234</f>
        <v>Виконано</v>
      </c>
    </row>
    <row r="237" spans="1:13" s="2" customFormat="1" ht="26.25" x14ac:dyDescent="0.25">
      <c r="A237" s="3">
        <v>233</v>
      </c>
      <c r="B237" s="4" t="str">
        <f>HYPERLINK("https://my.zakupivli.pro/remote/dispatcher/state_purchase_view/64298742", "UA-2025-12-10-007003-a")</f>
        <v>UA-2025-12-10-007003-a</v>
      </c>
      <c r="C237" s="5" t="s">
        <v>849</v>
      </c>
      <c r="D237" s="5" t="s">
        <v>359</v>
      </c>
      <c r="E237" s="5" t="s">
        <v>506</v>
      </c>
      <c r="F237" s="5" t="s">
        <v>514</v>
      </c>
      <c r="G237" s="5" t="s">
        <v>173</v>
      </c>
      <c r="H237" s="5" t="s">
        <v>163</v>
      </c>
      <c r="I237" s="3">
        <v>165</v>
      </c>
      <c r="J237" s="5" t="s">
        <v>598</v>
      </c>
      <c r="K237" s="6">
        <v>46001</v>
      </c>
      <c r="L237" s="6">
        <v>46022</v>
      </c>
      <c r="M237" s="5" t="str">
        <f>[1]Звіт!C235</f>
        <v>Виконано</v>
      </c>
    </row>
    <row r="238" spans="1:13" s="2" customFormat="1" ht="26.25" x14ac:dyDescent="0.25">
      <c r="A238" s="3">
        <v>234</v>
      </c>
      <c r="B238" s="4" t="str">
        <f>HYPERLINK("https://my.zakupivli.pro/remote/dispatcher/state_purchase_view/64299327", "UA-2025-12-10-007182-a")</f>
        <v>UA-2025-12-10-007182-a</v>
      </c>
      <c r="C238" s="5" t="s">
        <v>788</v>
      </c>
      <c r="D238" s="5" t="s">
        <v>342</v>
      </c>
      <c r="E238" s="5" t="s">
        <v>506</v>
      </c>
      <c r="F238" s="5" t="s">
        <v>514</v>
      </c>
      <c r="G238" s="5" t="s">
        <v>173</v>
      </c>
      <c r="H238" s="5" t="s">
        <v>163</v>
      </c>
      <c r="I238" s="7">
        <v>10171.799999999999</v>
      </c>
      <c r="J238" s="5" t="s">
        <v>598</v>
      </c>
      <c r="K238" s="6">
        <v>46001</v>
      </c>
      <c r="L238" s="6">
        <v>46022</v>
      </c>
      <c r="M238" s="5" t="str">
        <f>[1]Звіт!C236</f>
        <v>Виконано</v>
      </c>
    </row>
    <row r="239" spans="1:13" s="2" customFormat="1" ht="39" x14ac:dyDescent="0.25">
      <c r="A239" s="3">
        <v>235</v>
      </c>
      <c r="B239" s="4" t="str">
        <f>HYPERLINK("https://my.zakupivli.pro/remote/dispatcher/state_purchase_view/64865856", "UA-2025-12-24-001505-a")</f>
        <v>UA-2025-12-24-001505-a</v>
      </c>
      <c r="C239" s="5" t="s">
        <v>499</v>
      </c>
      <c r="D239" s="5" t="s">
        <v>372</v>
      </c>
      <c r="E239" s="5" t="s">
        <v>506</v>
      </c>
      <c r="F239" s="5" t="s">
        <v>683</v>
      </c>
      <c r="G239" s="5" t="s">
        <v>357</v>
      </c>
      <c r="H239" s="5" t="s">
        <v>110</v>
      </c>
      <c r="I239" s="3">
        <v>24500</v>
      </c>
      <c r="J239" s="5" t="s">
        <v>705</v>
      </c>
      <c r="K239" s="6">
        <v>46014</v>
      </c>
      <c r="L239" s="6">
        <v>46022</v>
      </c>
      <c r="M239" s="5" t="str">
        <f>[1]Звіт!C237</f>
        <v>Виконано</v>
      </c>
    </row>
    <row r="240" spans="1:13" s="2" customFormat="1" ht="39" x14ac:dyDescent="0.25">
      <c r="A240" s="3">
        <v>236</v>
      </c>
      <c r="B240" s="4" t="str">
        <f>HYPERLINK("https://my.zakupivli.pro/remote/dispatcher/state_purchase_view/60031940", "UA-2025-06-11-008603-a")</f>
        <v>UA-2025-06-11-008603-a</v>
      </c>
      <c r="C240" s="5" t="s">
        <v>502</v>
      </c>
      <c r="D240" s="5" t="s">
        <v>164</v>
      </c>
      <c r="E240" s="5" t="s">
        <v>506</v>
      </c>
      <c r="F240" s="5" t="s">
        <v>576</v>
      </c>
      <c r="G240" s="5" t="s">
        <v>250</v>
      </c>
      <c r="H240" s="5" t="s">
        <v>391</v>
      </c>
      <c r="I240" s="3">
        <v>16796</v>
      </c>
      <c r="J240" s="5" t="s">
        <v>598</v>
      </c>
      <c r="K240" s="6">
        <v>45819</v>
      </c>
      <c r="L240" s="6">
        <v>46022</v>
      </c>
      <c r="M240" s="5" t="str">
        <f>[1]Звіт!C238</f>
        <v>Виконано</v>
      </c>
    </row>
    <row r="241" spans="1:13" s="2" customFormat="1" ht="26.25" x14ac:dyDescent="0.25">
      <c r="A241" s="3">
        <v>237</v>
      </c>
      <c r="B241" s="4" t="str">
        <f>HYPERLINK("https://my.zakupivli.pro/remote/dispatcher/state_purchase_view/60332167", "UA-2025-06-25-003436-a")</f>
        <v>UA-2025-06-25-003436-a</v>
      </c>
      <c r="C241" s="5" t="s">
        <v>856</v>
      </c>
      <c r="D241" s="5" t="s">
        <v>352</v>
      </c>
      <c r="E241" s="5" t="s">
        <v>506</v>
      </c>
      <c r="F241" s="5" t="s">
        <v>514</v>
      </c>
      <c r="G241" s="5" t="s">
        <v>173</v>
      </c>
      <c r="H241" s="5" t="s">
        <v>78</v>
      </c>
      <c r="I241" s="3">
        <v>88</v>
      </c>
      <c r="J241" s="5" t="s">
        <v>598</v>
      </c>
      <c r="K241" s="6">
        <v>45833</v>
      </c>
      <c r="L241" s="6">
        <v>46022</v>
      </c>
      <c r="M241" s="5" t="str">
        <f>[1]Звіт!C239</f>
        <v>Виконано</v>
      </c>
    </row>
    <row r="242" spans="1:13" s="2" customFormat="1" ht="26.25" x14ac:dyDescent="0.25">
      <c r="A242" s="3">
        <v>238</v>
      </c>
      <c r="B242" s="4" t="str">
        <f>HYPERLINK("https://my.zakupivli.pro/remote/dispatcher/state_purchase_view/60328547", "UA-2025-06-25-001889-a")</f>
        <v>UA-2025-06-25-001889-a</v>
      </c>
      <c r="C242" s="5" t="s">
        <v>838</v>
      </c>
      <c r="D242" s="5" t="s">
        <v>353</v>
      </c>
      <c r="E242" s="5" t="s">
        <v>506</v>
      </c>
      <c r="F242" s="5" t="s">
        <v>466</v>
      </c>
      <c r="G242" s="5" t="s">
        <v>206</v>
      </c>
      <c r="H242" s="5" t="s">
        <v>74</v>
      </c>
      <c r="I242" s="3">
        <v>480</v>
      </c>
      <c r="J242" s="5" t="s">
        <v>598</v>
      </c>
      <c r="K242" s="6">
        <v>45833</v>
      </c>
      <c r="L242" s="6">
        <v>46022</v>
      </c>
      <c r="M242" s="5" t="str">
        <f>[1]Звіт!C240</f>
        <v>Виконано</v>
      </c>
    </row>
    <row r="243" spans="1:13" s="2" customFormat="1" ht="26.25" x14ac:dyDescent="0.25">
      <c r="A243" s="3">
        <v>239</v>
      </c>
      <c r="B243" s="4" t="str">
        <f>HYPERLINK("https://my.zakupivli.pro/remote/dispatcher/state_purchase_view/60332705", "UA-2025-06-25-003648-a")</f>
        <v>UA-2025-06-25-003648-a</v>
      </c>
      <c r="C243" s="5" t="s">
        <v>789</v>
      </c>
      <c r="D243" s="5" t="s">
        <v>342</v>
      </c>
      <c r="E243" s="5" t="s">
        <v>506</v>
      </c>
      <c r="F243" s="5" t="s">
        <v>514</v>
      </c>
      <c r="G243" s="5" t="s">
        <v>173</v>
      </c>
      <c r="H243" s="5" t="s">
        <v>78</v>
      </c>
      <c r="I243" s="3">
        <v>8500</v>
      </c>
      <c r="J243" s="5" t="s">
        <v>598</v>
      </c>
      <c r="K243" s="6">
        <v>45833</v>
      </c>
      <c r="L243" s="6">
        <v>46022</v>
      </c>
      <c r="M243" s="5" t="str">
        <f>[1]Звіт!C241</f>
        <v>Виконано</v>
      </c>
    </row>
    <row r="244" spans="1:13" s="2" customFormat="1" ht="26.25" x14ac:dyDescent="0.25">
      <c r="A244" s="3">
        <v>240</v>
      </c>
      <c r="B244" s="4" t="str">
        <f>HYPERLINK("https://my.zakupivli.pro/remote/dispatcher/state_purchase_view/60341104", "UA-2025-06-25-007513-a")</f>
        <v>UA-2025-06-25-007513-a</v>
      </c>
      <c r="C244" s="5" t="s">
        <v>779</v>
      </c>
      <c r="D244" s="5" t="s">
        <v>76</v>
      </c>
      <c r="E244" s="5" t="s">
        <v>506</v>
      </c>
      <c r="F244" s="5" t="s">
        <v>514</v>
      </c>
      <c r="G244" s="5" t="s">
        <v>173</v>
      </c>
      <c r="H244" s="5" t="s">
        <v>78</v>
      </c>
      <c r="I244" s="3">
        <v>125</v>
      </c>
      <c r="J244" s="5" t="s">
        <v>598</v>
      </c>
      <c r="K244" s="6">
        <v>45833</v>
      </c>
      <c r="L244" s="6">
        <v>46022</v>
      </c>
      <c r="M244" s="5" t="str">
        <f>[1]Звіт!C242</f>
        <v>Виконано</v>
      </c>
    </row>
    <row r="245" spans="1:13" s="2" customFormat="1" ht="77.25" x14ac:dyDescent="0.25">
      <c r="A245" s="3">
        <v>241</v>
      </c>
      <c r="B245" s="4" t="str">
        <f>HYPERLINK("https://my.zakupivli.pro/remote/dispatcher/state_purchase_view/60115991", "UA-2025-06-16-005663-a")</f>
        <v>UA-2025-06-16-005663-a</v>
      </c>
      <c r="C245" s="5" t="s">
        <v>592</v>
      </c>
      <c r="D245" s="5" t="s">
        <v>409</v>
      </c>
      <c r="E245" s="5" t="s">
        <v>506</v>
      </c>
      <c r="F245" s="5" t="s">
        <v>515</v>
      </c>
      <c r="G245" s="5" t="s">
        <v>153</v>
      </c>
      <c r="H245" s="5" t="s">
        <v>398</v>
      </c>
      <c r="I245" s="3">
        <v>10800</v>
      </c>
      <c r="J245" s="5" t="s">
        <v>598</v>
      </c>
      <c r="K245" s="6">
        <v>45824</v>
      </c>
      <c r="L245" s="6">
        <v>46022</v>
      </c>
      <c r="M245" s="5" t="str">
        <f>[1]Звіт!C243</f>
        <v>Виконано</v>
      </c>
    </row>
    <row r="246" spans="1:13" s="2" customFormat="1" ht="39" x14ac:dyDescent="0.25">
      <c r="A246" s="3">
        <v>242</v>
      </c>
      <c r="B246" s="4" t="str">
        <f>HYPERLINK("https://my.zakupivli.pro/remote/dispatcher/state_purchase_view/58866865", "UA-2025-04-18-004204-a")</f>
        <v>UA-2025-04-18-004204-a</v>
      </c>
      <c r="C246" s="5" t="s">
        <v>593</v>
      </c>
      <c r="D246" s="5" t="s">
        <v>378</v>
      </c>
      <c r="E246" s="5" t="s">
        <v>506</v>
      </c>
      <c r="F246" s="5" t="s">
        <v>605</v>
      </c>
      <c r="G246" s="5" t="s">
        <v>227</v>
      </c>
      <c r="H246" s="5" t="s">
        <v>451</v>
      </c>
      <c r="I246" s="3">
        <v>2340</v>
      </c>
      <c r="J246" s="5" t="s">
        <v>598</v>
      </c>
      <c r="K246" s="6">
        <v>45765</v>
      </c>
      <c r="L246" s="6">
        <v>46022</v>
      </c>
      <c r="M246" s="5" t="str">
        <f>[1]Звіт!C244</f>
        <v>Виконано</v>
      </c>
    </row>
    <row r="247" spans="1:13" s="2" customFormat="1" ht="26.25" x14ac:dyDescent="0.25">
      <c r="A247" s="3">
        <v>243</v>
      </c>
      <c r="B247" s="4" t="str">
        <f>HYPERLINK("https://my.zakupivli.pro/remote/dispatcher/state_purchase_view/58888401", "UA-2025-04-21-003718-a")</f>
        <v>UA-2025-04-21-003718-a</v>
      </c>
      <c r="C247" s="5" t="s">
        <v>734</v>
      </c>
      <c r="D247" s="5" t="s">
        <v>224</v>
      </c>
      <c r="E247" s="5" t="s">
        <v>506</v>
      </c>
      <c r="F247" s="5" t="s">
        <v>596</v>
      </c>
      <c r="G247" s="5" t="s">
        <v>222</v>
      </c>
      <c r="H247" s="5" t="s">
        <v>452</v>
      </c>
      <c r="I247" s="3">
        <v>740</v>
      </c>
      <c r="J247" s="5" t="s">
        <v>598</v>
      </c>
      <c r="K247" s="6">
        <v>45768</v>
      </c>
      <c r="L247" s="6">
        <v>46022</v>
      </c>
      <c r="M247" s="5" t="s">
        <v>866</v>
      </c>
    </row>
    <row r="248" spans="1:13" s="2" customFormat="1" ht="64.5" x14ac:dyDescent="0.25">
      <c r="A248" s="3">
        <v>244</v>
      </c>
      <c r="B248" s="4" t="str">
        <f>HYPERLINK("https://my.zakupivli.pro/remote/dispatcher/state_purchase_view/59822808", "UA-2025-06-02-010332-a")</f>
        <v>UA-2025-06-02-010332-a</v>
      </c>
      <c r="C248" s="5" t="s">
        <v>628</v>
      </c>
      <c r="D248" s="5" t="s">
        <v>442</v>
      </c>
      <c r="E248" s="5" t="s">
        <v>506</v>
      </c>
      <c r="F248" s="5" t="s">
        <v>611</v>
      </c>
      <c r="G248" s="5" t="s">
        <v>248</v>
      </c>
      <c r="H248" s="5" t="s">
        <v>64</v>
      </c>
      <c r="I248" s="7">
        <v>3994.2</v>
      </c>
      <c r="J248" s="5" t="s">
        <v>705</v>
      </c>
      <c r="K248" s="6">
        <v>45810</v>
      </c>
      <c r="L248" s="6">
        <v>46022</v>
      </c>
      <c r="M248" s="5" t="s">
        <v>866</v>
      </c>
    </row>
    <row r="249" spans="1:13" s="2" customFormat="1" ht="39" x14ac:dyDescent="0.25">
      <c r="A249" s="3">
        <v>245</v>
      </c>
      <c r="B249" s="4" t="str">
        <f>HYPERLINK("https://my.zakupivli.pro/remote/dispatcher/state_purchase_view/58932249", "UA-2025-04-23-004190-a")</f>
        <v>UA-2025-04-23-004190-a</v>
      </c>
      <c r="C249" s="5" t="s">
        <v>585</v>
      </c>
      <c r="D249" s="5" t="s">
        <v>84</v>
      </c>
      <c r="E249" s="5" t="s">
        <v>506</v>
      </c>
      <c r="F249" s="5" t="s">
        <v>591</v>
      </c>
      <c r="G249" s="5" t="s">
        <v>160</v>
      </c>
      <c r="H249" s="5" t="s">
        <v>33</v>
      </c>
      <c r="I249" s="3">
        <v>18480</v>
      </c>
      <c r="J249" s="5" t="s">
        <v>598</v>
      </c>
      <c r="K249" s="6">
        <v>45770</v>
      </c>
      <c r="L249" s="6">
        <v>46022</v>
      </c>
      <c r="M249" s="5" t="s">
        <v>866</v>
      </c>
    </row>
    <row r="250" spans="1:13" s="2" customFormat="1" ht="39" x14ac:dyDescent="0.25">
      <c r="A250" s="3">
        <v>246</v>
      </c>
      <c r="B250" s="4" t="str">
        <f>HYPERLINK("https://my.zakupivli.pro/remote/dispatcher/state_purchase_view/58908735", "UA-2025-04-22-005099-a")</f>
        <v>UA-2025-04-22-005099-a</v>
      </c>
      <c r="C250" s="5" t="s">
        <v>732</v>
      </c>
      <c r="D250" s="5" t="s">
        <v>225</v>
      </c>
      <c r="E250" s="5" t="s">
        <v>506</v>
      </c>
      <c r="F250" s="5" t="s">
        <v>660</v>
      </c>
      <c r="G250" s="5" t="s">
        <v>162</v>
      </c>
      <c r="H250" s="5" t="s">
        <v>29</v>
      </c>
      <c r="I250" s="3">
        <v>7100</v>
      </c>
      <c r="J250" s="5" t="s">
        <v>598</v>
      </c>
      <c r="K250" s="6">
        <v>45769</v>
      </c>
      <c r="L250" s="6">
        <v>46022</v>
      </c>
      <c r="M250" s="5" t="s">
        <v>866</v>
      </c>
    </row>
    <row r="251" spans="1:13" s="2" customFormat="1" ht="26.25" x14ac:dyDescent="0.25">
      <c r="A251" s="3">
        <v>247</v>
      </c>
      <c r="B251" s="4" t="str">
        <f>HYPERLINK("https://my.zakupivli.pro/remote/dispatcher/state_purchase_view/58909655", "UA-2025-04-22-005546-a")</f>
        <v>UA-2025-04-22-005546-a</v>
      </c>
      <c r="C251" s="5" t="s">
        <v>863</v>
      </c>
      <c r="D251" s="5" t="s">
        <v>130</v>
      </c>
      <c r="E251" s="5" t="s">
        <v>506</v>
      </c>
      <c r="F251" s="5" t="s">
        <v>660</v>
      </c>
      <c r="G251" s="5" t="s">
        <v>162</v>
      </c>
      <c r="H251" s="5" t="s">
        <v>29</v>
      </c>
      <c r="I251" s="3">
        <v>460</v>
      </c>
      <c r="J251" s="5" t="s">
        <v>598</v>
      </c>
      <c r="K251" s="6">
        <v>45769</v>
      </c>
      <c r="L251" s="6">
        <v>46022</v>
      </c>
      <c r="M251" s="5" t="s">
        <v>866</v>
      </c>
    </row>
    <row r="252" spans="1:13" s="2" customFormat="1" ht="26.25" x14ac:dyDescent="0.25">
      <c r="A252" s="3">
        <v>248</v>
      </c>
      <c r="B252" s="4" t="str">
        <f>HYPERLINK("https://my.zakupivli.pro/remote/dispatcher/state_purchase_view/58957607", "UA-2025-04-24-002382-a")</f>
        <v>UA-2025-04-24-002382-a</v>
      </c>
      <c r="C252" s="5" t="s">
        <v>746</v>
      </c>
      <c r="D252" s="5" t="s">
        <v>352</v>
      </c>
      <c r="E252" s="5" t="s">
        <v>506</v>
      </c>
      <c r="F252" s="5" t="s">
        <v>466</v>
      </c>
      <c r="G252" s="5" t="s">
        <v>206</v>
      </c>
      <c r="H252" s="5" t="s">
        <v>34</v>
      </c>
      <c r="I252" s="3">
        <v>625</v>
      </c>
      <c r="J252" s="5" t="s">
        <v>598</v>
      </c>
      <c r="K252" s="6">
        <v>45771</v>
      </c>
      <c r="L252" s="6">
        <v>46022</v>
      </c>
      <c r="M252" s="5" t="s">
        <v>866</v>
      </c>
    </row>
    <row r="253" spans="1:13" s="2" customFormat="1" ht="39" x14ac:dyDescent="0.25">
      <c r="A253" s="3">
        <v>249</v>
      </c>
      <c r="B253" s="4" t="str">
        <f>HYPERLINK("https://my.zakupivli.pro/remote/dispatcher/state_purchase_view/58596021", "UA-2025-04-07-009468-a")</f>
        <v>UA-2025-04-07-009468-a</v>
      </c>
      <c r="C253" s="5" t="s">
        <v>535</v>
      </c>
      <c r="D253" s="5" t="s">
        <v>85</v>
      </c>
      <c r="E253" s="5" t="s">
        <v>506</v>
      </c>
      <c r="F253" s="5" t="s">
        <v>591</v>
      </c>
      <c r="G253" s="5" t="s">
        <v>160</v>
      </c>
      <c r="H253" s="5" t="s">
        <v>447</v>
      </c>
      <c r="I253" s="3">
        <v>7068</v>
      </c>
      <c r="J253" s="5" t="s">
        <v>598</v>
      </c>
      <c r="K253" s="6">
        <v>45754</v>
      </c>
      <c r="L253" s="6">
        <v>46022</v>
      </c>
      <c r="M253" s="5" t="s">
        <v>866</v>
      </c>
    </row>
    <row r="254" spans="1:13" s="2" customFormat="1" ht="26.25" x14ac:dyDescent="0.25">
      <c r="A254" s="3">
        <v>250</v>
      </c>
      <c r="B254" s="4" t="str">
        <f>HYPERLINK("https://my.zakupivli.pro/remote/dispatcher/state_purchase_view/58589482", "UA-2025-04-07-006648-a")</f>
        <v>UA-2025-04-07-006648-a</v>
      </c>
      <c r="C254" s="5" t="s">
        <v>854</v>
      </c>
      <c r="D254" s="5" t="s">
        <v>352</v>
      </c>
      <c r="E254" s="5" t="s">
        <v>506</v>
      </c>
      <c r="F254" s="5" t="s">
        <v>466</v>
      </c>
      <c r="G254" s="5" t="s">
        <v>206</v>
      </c>
      <c r="H254" s="5" t="s">
        <v>446</v>
      </c>
      <c r="I254" s="3">
        <v>480</v>
      </c>
      <c r="J254" s="5" t="s">
        <v>598</v>
      </c>
      <c r="K254" s="6">
        <v>45754</v>
      </c>
      <c r="L254" s="6">
        <v>46022</v>
      </c>
      <c r="M254" s="5" t="s">
        <v>866</v>
      </c>
    </row>
    <row r="255" spans="1:13" s="2" customFormat="1" ht="26.25" x14ac:dyDescent="0.25">
      <c r="A255" s="3">
        <v>251</v>
      </c>
      <c r="B255" s="4" t="str">
        <f>HYPERLINK("https://my.zakupivli.pro/remote/dispatcher/state_purchase_view/59130349", "UA-2025-05-02-003758-a")</f>
        <v>UA-2025-05-02-003758-a</v>
      </c>
      <c r="C255" s="5" t="s">
        <v>507</v>
      </c>
      <c r="D255" s="5" t="s">
        <v>353</v>
      </c>
      <c r="E255" s="5" t="s">
        <v>506</v>
      </c>
      <c r="F255" s="5" t="s">
        <v>554</v>
      </c>
      <c r="G255" s="5" t="s">
        <v>281</v>
      </c>
      <c r="H255" s="5" t="s">
        <v>201</v>
      </c>
      <c r="I255" s="3">
        <v>1800</v>
      </c>
      <c r="J255" s="5" t="s">
        <v>598</v>
      </c>
      <c r="K255" s="6">
        <v>45779</v>
      </c>
      <c r="L255" s="6">
        <v>46022</v>
      </c>
      <c r="M255" s="5" t="s">
        <v>866</v>
      </c>
    </row>
    <row r="256" spans="1:13" s="2" customFormat="1" ht="128.25" x14ac:dyDescent="0.25">
      <c r="A256" s="3">
        <v>252</v>
      </c>
      <c r="B256" s="4" t="str">
        <f>HYPERLINK("https://my.zakupivli.pro/remote/dispatcher/state_purchase_view/59403665", "UA-2025-05-14-001429-a")</f>
        <v>UA-2025-05-14-001429-a</v>
      </c>
      <c r="C256" s="5" t="s">
        <v>496</v>
      </c>
      <c r="D256" s="5" t="s">
        <v>365</v>
      </c>
      <c r="E256" s="5" t="s">
        <v>506</v>
      </c>
      <c r="F256" s="5" t="s">
        <v>615</v>
      </c>
      <c r="G256" s="5" t="s">
        <v>198</v>
      </c>
      <c r="H256" s="5" t="s">
        <v>314</v>
      </c>
      <c r="I256" s="7">
        <v>55912.5</v>
      </c>
      <c r="J256" s="5" t="s">
        <v>598</v>
      </c>
      <c r="K256" s="6">
        <v>45791</v>
      </c>
      <c r="L256" s="6">
        <v>46022</v>
      </c>
      <c r="M256" s="5" t="s">
        <v>866</v>
      </c>
    </row>
    <row r="257" spans="1:13" s="2" customFormat="1" ht="51.75" x14ac:dyDescent="0.25">
      <c r="A257" s="3">
        <v>253</v>
      </c>
      <c r="B257" s="4" t="str">
        <f>HYPERLINK("https://my.zakupivli.pro/remote/dispatcher/state_purchase_view/59407319", "UA-2025-05-14-003058-a")</f>
        <v>UA-2025-05-14-003058-a</v>
      </c>
      <c r="C257" s="5" t="s">
        <v>559</v>
      </c>
      <c r="D257" s="5" t="s">
        <v>267</v>
      </c>
      <c r="E257" s="5" t="s">
        <v>506</v>
      </c>
      <c r="F257" s="5" t="s">
        <v>698</v>
      </c>
      <c r="G257" s="5" t="s">
        <v>327</v>
      </c>
      <c r="H257" s="5" t="s">
        <v>46</v>
      </c>
      <c r="I257" s="3">
        <v>26220</v>
      </c>
      <c r="J257" s="5" t="s">
        <v>598</v>
      </c>
      <c r="K257" s="6">
        <v>45791</v>
      </c>
      <c r="L257" s="6">
        <v>46022</v>
      </c>
      <c r="M257" s="5" t="s">
        <v>866</v>
      </c>
    </row>
    <row r="258" spans="1:13" s="2" customFormat="1" ht="26.25" x14ac:dyDescent="0.25">
      <c r="A258" s="3">
        <v>254</v>
      </c>
      <c r="B258" s="4" t="str">
        <f>HYPERLINK("https://my.zakupivli.pro/remote/dispatcher/state_purchase_view/59341766", "UA-2025-05-12-003144-a")</f>
        <v>UA-2025-05-12-003144-a</v>
      </c>
      <c r="C258" s="5" t="s">
        <v>664</v>
      </c>
      <c r="D258" s="5" t="s">
        <v>77</v>
      </c>
      <c r="E258" s="5" t="s">
        <v>506</v>
      </c>
      <c r="F258" s="5" t="s">
        <v>505</v>
      </c>
      <c r="G258" s="5" t="s">
        <v>143</v>
      </c>
      <c r="H258" s="5" t="s">
        <v>20</v>
      </c>
      <c r="I258" s="7">
        <v>1569.6</v>
      </c>
      <c r="J258" s="5" t="s">
        <v>705</v>
      </c>
      <c r="K258" s="6">
        <v>45786</v>
      </c>
      <c r="L258" s="6">
        <v>46022</v>
      </c>
      <c r="M258" s="5" t="s">
        <v>866</v>
      </c>
    </row>
    <row r="259" spans="1:13" s="2" customFormat="1" ht="26.25" x14ac:dyDescent="0.25">
      <c r="A259" s="3">
        <v>255</v>
      </c>
      <c r="B259" s="4" t="str">
        <f>HYPERLINK("https://my.zakupivli.pro/remote/dispatcher/state_purchase_view/59342155", "UA-2025-05-12-003272-a")</f>
        <v>UA-2025-05-12-003272-a</v>
      </c>
      <c r="C259" s="5" t="s">
        <v>649</v>
      </c>
      <c r="D259" s="5" t="s">
        <v>346</v>
      </c>
      <c r="E259" s="5" t="s">
        <v>506</v>
      </c>
      <c r="F259" s="5" t="s">
        <v>505</v>
      </c>
      <c r="G259" s="5" t="s">
        <v>143</v>
      </c>
      <c r="H259" s="5" t="s">
        <v>20</v>
      </c>
      <c r="I259" s="7">
        <v>11538.72</v>
      </c>
      <c r="J259" s="5" t="s">
        <v>705</v>
      </c>
      <c r="K259" s="6">
        <v>45786</v>
      </c>
      <c r="L259" s="6">
        <v>46022</v>
      </c>
      <c r="M259" s="5" t="s">
        <v>866</v>
      </c>
    </row>
    <row r="260" spans="1:13" s="2" customFormat="1" ht="39" x14ac:dyDescent="0.25">
      <c r="A260" s="3">
        <v>256</v>
      </c>
      <c r="B260" s="4" t="str">
        <f>HYPERLINK("https://my.zakupivli.pro/remote/dispatcher/state_purchase_view/56841122", "UA-2025-01-23-008590-a")</f>
        <v>UA-2025-01-23-008590-a</v>
      </c>
      <c r="C260" s="5" t="s">
        <v>488</v>
      </c>
      <c r="D260" s="5" t="s">
        <v>90</v>
      </c>
      <c r="E260" s="5" t="s">
        <v>506</v>
      </c>
      <c r="F260" s="5" t="s">
        <v>591</v>
      </c>
      <c r="G260" s="5" t="s">
        <v>160</v>
      </c>
      <c r="H260" s="5" t="s">
        <v>195</v>
      </c>
      <c r="I260" s="3">
        <v>230</v>
      </c>
      <c r="J260" s="5" t="s">
        <v>598</v>
      </c>
      <c r="K260" s="6">
        <v>45680</v>
      </c>
      <c r="L260" s="6">
        <v>46022</v>
      </c>
      <c r="M260" s="5" t="s">
        <v>866</v>
      </c>
    </row>
    <row r="261" spans="1:13" s="2" customFormat="1" ht="39" x14ac:dyDescent="0.25">
      <c r="A261" s="3">
        <v>257</v>
      </c>
      <c r="B261" s="4" t="str">
        <f>HYPERLINK("https://my.zakupivli.pro/remote/dispatcher/state_purchase_view/56827629", "UA-2025-01-23-002695-a")</f>
        <v>UA-2025-01-23-002695-a</v>
      </c>
      <c r="C261" s="5" t="s">
        <v>744</v>
      </c>
      <c r="D261" s="5" t="s">
        <v>90</v>
      </c>
      <c r="E261" s="5" t="s">
        <v>506</v>
      </c>
      <c r="F261" s="5" t="s">
        <v>591</v>
      </c>
      <c r="G261" s="5" t="s">
        <v>160</v>
      </c>
      <c r="H261" s="5" t="s">
        <v>177</v>
      </c>
      <c r="I261" s="3">
        <v>2500</v>
      </c>
      <c r="J261" s="5" t="s">
        <v>598</v>
      </c>
      <c r="K261" s="6">
        <v>45680</v>
      </c>
      <c r="L261" s="6">
        <v>46022</v>
      </c>
      <c r="M261" s="5" t="s">
        <v>866</v>
      </c>
    </row>
    <row r="262" spans="1:13" s="2" customFormat="1" ht="39" x14ac:dyDescent="0.25">
      <c r="A262" s="3">
        <v>258</v>
      </c>
      <c r="B262" s="4" t="str">
        <f>HYPERLINK("https://my.zakupivli.pro/remote/dispatcher/state_purchase_view/57017052", "UA-2025-01-29-007069-a")</f>
        <v>UA-2025-01-29-007069-a</v>
      </c>
      <c r="C262" s="5" t="s">
        <v>360</v>
      </c>
      <c r="D262" s="5" t="s">
        <v>360</v>
      </c>
      <c r="E262" s="5" t="s">
        <v>506</v>
      </c>
      <c r="F262" s="5" t="s">
        <v>505</v>
      </c>
      <c r="G262" s="5" t="s">
        <v>143</v>
      </c>
      <c r="H262" s="5" t="s">
        <v>136</v>
      </c>
      <c r="I262" s="7">
        <v>7609.3</v>
      </c>
      <c r="J262" s="5" t="s">
        <v>705</v>
      </c>
      <c r="K262" s="6">
        <v>45686</v>
      </c>
      <c r="L262" s="6">
        <v>46022</v>
      </c>
      <c r="M262" s="5" t="s">
        <v>866</v>
      </c>
    </row>
    <row r="263" spans="1:13" s="2" customFormat="1" ht="26.25" x14ac:dyDescent="0.25">
      <c r="A263" s="3">
        <v>259</v>
      </c>
      <c r="B263" s="4" t="str">
        <f>HYPERLINK("https://my.zakupivli.pro/remote/dispatcher/state_purchase_view/57025856", "UA-2025-01-29-010778-a")</f>
        <v>UA-2025-01-29-010778-a</v>
      </c>
      <c r="C263" s="5" t="s">
        <v>352</v>
      </c>
      <c r="D263" s="5" t="s">
        <v>352</v>
      </c>
      <c r="E263" s="5" t="s">
        <v>506</v>
      </c>
      <c r="F263" s="5" t="s">
        <v>505</v>
      </c>
      <c r="G263" s="5" t="s">
        <v>143</v>
      </c>
      <c r="H263" s="5" t="s">
        <v>136</v>
      </c>
      <c r="I263" s="3">
        <v>3739</v>
      </c>
      <c r="J263" s="5" t="s">
        <v>705</v>
      </c>
      <c r="K263" s="6">
        <v>45686</v>
      </c>
      <c r="L263" s="6">
        <v>46022</v>
      </c>
      <c r="M263" s="5" t="s">
        <v>866</v>
      </c>
    </row>
    <row r="264" spans="1:13" s="2" customFormat="1" ht="26.25" x14ac:dyDescent="0.25">
      <c r="A264" s="3">
        <v>260</v>
      </c>
      <c r="B264" s="4" t="str">
        <f>HYPERLINK("https://my.zakupivli.pro/remote/dispatcher/state_purchase_view/56831806", "UA-2025-01-23-004529-a")</f>
        <v>UA-2025-01-23-004529-a</v>
      </c>
      <c r="C264" s="5" t="s">
        <v>487</v>
      </c>
      <c r="D264" s="5" t="s">
        <v>12</v>
      </c>
      <c r="E264" s="5" t="s">
        <v>506</v>
      </c>
      <c r="F264" s="5" t="s">
        <v>591</v>
      </c>
      <c r="G264" s="5" t="s">
        <v>160</v>
      </c>
      <c r="H264" s="5" t="s">
        <v>187</v>
      </c>
      <c r="I264" s="3">
        <v>725</v>
      </c>
      <c r="J264" s="5" t="s">
        <v>598</v>
      </c>
      <c r="K264" s="6">
        <v>45680</v>
      </c>
      <c r="L264" s="6">
        <v>46022</v>
      </c>
      <c r="M264" s="5" t="s">
        <v>866</v>
      </c>
    </row>
    <row r="265" spans="1:13" s="2" customFormat="1" ht="357.75" x14ac:dyDescent="0.25">
      <c r="A265" s="3">
        <v>261</v>
      </c>
      <c r="B265" s="4" t="str">
        <f>HYPERLINK("https://my.zakupivli.pro/remote/dispatcher/state_purchase_view/61001145", "UA-2025-07-30-004577-a")</f>
        <v>UA-2025-07-30-004577-a</v>
      </c>
      <c r="C265" s="5" t="s">
        <v>651</v>
      </c>
      <c r="D265" s="5" t="s">
        <v>21</v>
      </c>
      <c r="E265" s="5" t="s">
        <v>506</v>
      </c>
      <c r="F265" s="5" t="s">
        <v>613</v>
      </c>
      <c r="G265" s="5" t="s">
        <v>361</v>
      </c>
      <c r="H265" s="5" t="s">
        <v>736</v>
      </c>
      <c r="I265" s="7">
        <v>0.01</v>
      </c>
      <c r="J265" s="5" t="s">
        <v>598</v>
      </c>
      <c r="K265" s="6">
        <v>45868</v>
      </c>
      <c r="L265" s="6">
        <v>46022</v>
      </c>
      <c r="M265" s="5" t="s">
        <v>866</v>
      </c>
    </row>
    <row r="266" spans="1:13" s="2" customFormat="1" ht="51.75" x14ac:dyDescent="0.25">
      <c r="A266" s="3">
        <v>262</v>
      </c>
      <c r="B266" s="4" t="str">
        <f>HYPERLINK("https://my.zakupivli.pro/remote/dispatcher/state_purchase_view/60970983", "UA-2025-07-29-002387-a")</f>
        <v>UA-2025-07-29-002387-a</v>
      </c>
      <c r="C266" s="5" t="s">
        <v>847</v>
      </c>
      <c r="D266" s="5" t="s">
        <v>340</v>
      </c>
      <c r="E266" s="5" t="s">
        <v>506</v>
      </c>
      <c r="F266" s="5" t="s">
        <v>466</v>
      </c>
      <c r="G266" s="5" t="s">
        <v>206</v>
      </c>
      <c r="H266" s="5" t="s">
        <v>116</v>
      </c>
      <c r="I266" s="3">
        <v>230</v>
      </c>
      <c r="J266" s="5" t="s">
        <v>598</v>
      </c>
      <c r="K266" s="6">
        <v>45867</v>
      </c>
      <c r="L266" s="6">
        <v>46022</v>
      </c>
      <c r="M266" s="5" t="s">
        <v>866</v>
      </c>
    </row>
    <row r="267" spans="1:13" s="2" customFormat="1" ht="26.25" x14ac:dyDescent="0.25">
      <c r="A267" s="3">
        <v>263</v>
      </c>
      <c r="B267" s="4" t="str">
        <f>HYPERLINK("https://my.zakupivli.pro/remote/dispatcher/state_purchase_view/60969329", "UA-2025-07-29-001642-a")</f>
        <v>UA-2025-07-29-001642-a</v>
      </c>
      <c r="C267" s="5" t="s">
        <v>850</v>
      </c>
      <c r="D267" s="5" t="s">
        <v>359</v>
      </c>
      <c r="E267" s="5" t="s">
        <v>506</v>
      </c>
      <c r="F267" s="5" t="s">
        <v>466</v>
      </c>
      <c r="G267" s="5" t="s">
        <v>206</v>
      </c>
      <c r="H267" s="5" t="s">
        <v>116</v>
      </c>
      <c r="I267" s="3">
        <v>397</v>
      </c>
      <c r="J267" s="5" t="s">
        <v>598</v>
      </c>
      <c r="K267" s="6">
        <v>45867</v>
      </c>
      <c r="L267" s="6">
        <v>46022</v>
      </c>
      <c r="M267" s="5" t="s">
        <v>866</v>
      </c>
    </row>
    <row r="268" spans="1:13" s="2" customFormat="1" ht="51.75" x14ac:dyDescent="0.25">
      <c r="A268" s="3">
        <v>264</v>
      </c>
      <c r="B268" s="4" t="str">
        <f>HYPERLINK("https://my.zakupivli.pro/remote/dispatcher/state_purchase_view/61911036", "UA-2025-09-12-006879-a")</f>
        <v>UA-2025-09-12-006879-a</v>
      </c>
      <c r="C268" s="5" t="s">
        <v>493</v>
      </c>
      <c r="D268" s="5" t="s">
        <v>10</v>
      </c>
      <c r="E268" s="5" t="s">
        <v>506</v>
      </c>
      <c r="F268" s="5" t="s">
        <v>591</v>
      </c>
      <c r="G268" s="5" t="s">
        <v>160</v>
      </c>
      <c r="H268" s="5" t="s">
        <v>122</v>
      </c>
      <c r="I268" s="3">
        <v>4320</v>
      </c>
      <c r="J268" s="5" t="s">
        <v>598</v>
      </c>
      <c r="K268" s="6">
        <v>45912</v>
      </c>
      <c r="L268" s="6">
        <v>46022</v>
      </c>
      <c r="M268" s="5" t="s">
        <v>866</v>
      </c>
    </row>
    <row r="269" spans="1:13" s="2" customFormat="1" ht="26.25" x14ac:dyDescent="0.25">
      <c r="A269" s="3">
        <v>265</v>
      </c>
      <c r="B269" s="4" t="str">
        <f>HYPERLINK("https://my.zakupivli.pro/remote/dispatcher/state_purchase_view/61911434", "UA-2025-09-12-007058-a")</f>
        <v>UA-2025-09-12-007058-a</v>
      </c>
      <c r="C269" s="5" t="s">
        <v>491</v>
      </c>
      <c r="D269" s="5" t="s">
        <v>88</v>
      </c>
      <c r="E269" s="5" t="s">
        <v>506</v>
      </c>
      <c r="F269" s="5" t="s">
        <v>591</v>
      </c>
      <c r="G269" s="5" t="s">
        <v>160</v>
      </c>
      <c r="H269" s="5" t="s">
        <v>122</v>
      </c>
      <c r="I269" s="3">
        <v>6200</v>
      </c>
      <c r="J269" s="5" t="s">
        <v>598</v>
      </c>
      <c r="K269" s="6">
        <v>45912</v>
      </c>
      <c r="L269" s="6">
        <v>46022</v>
      </c>
      <c r="M269" s="5" t="s">
        <v>866</v>
      </c>
    </row>
    <row r="270" spans="1:13" s="2" customFormat="1" ht="26.25" x14ac:dyDescent="0.25">
      <c r="A270" s="3">
        <v>266</v>
      </c>
      <c r="B270" s="4" t="str">
        <f>HYPERLINK("https://my.zakupivli.pro/remote/dispatcher/state_purchase_view/61911234", "UA-2025-09-12-006938-a")</f>
        <v>UA-2025-09-12-006938-a</v>
      </c>
      <c r="C270" s="5" t="s">
        <v>556</v>
      </c>
      <c r="D270" s="5" t="s">
        <v>87</v>
      </c>
      <c r="E270" s="5" t="s">
        <v>506</v>
      </c>
      <c r="F270" s="5" t="s">
        <v>591</v>
      </c>
      <c r="G270" s="5" t="s">
        <v>160</v>
      </c>
      <c r="H270" s="5" t="s">
        <v>122</v>
      </c>
      <c r="I270" s="3">
        <v>5253</v>
      </c>
      <c r="J270" s="5" t="s">
        <v>598</v>
      </c>
      <c r="K270" s="6">
        <v>45912</v>
      </c>
      <c r="L270" s="6">
        <v>46022</v>
      </c>
      <c r="M270" s="5" t="s">
        <v>866</v>
      </c>
    </row>
    <row r="271" spans="1:13" s="2" customFormat="1" ht="26.25" x14ac:dyDescent="0.25">
      <c r="A271" s="3">
        <v>267</v>
      </c>
      <c r="B271" s="4" t="str">
        <f>HYPERLINK("https://my.zakupivli.pro/remote/dispatcher/state_purchase_view/63600321", "UA-2025-11-19-003280-a")</f>
        <v>UA-2025-11-19-003280-a</v>
      </c>
      <c r="C271" s="5" t="s">
        <v>816</v>
      </c>
      <c r="D271" s="5" t="s">
        <v>345</v>
      </c>
      <c r="E271" s="5" t="s">
        <v>506</v>
      </c>
      <c r="F271" s="5" t="s">
        <v>466</v>
      </c>
      <c r="G271" s="5" t="s">
        <v>206</v>
      </c>
      <c r="H271" s="5" t="s">
        <v>147</v>
      </c>
      <c r="I271" s="3">
        <v>300</v>
      </c>
      <c r="J271" s="5" t="s">
        <v>598</v>
      </c>
      <c r="K271" s="6">
        <v>45980</v>
      </c>
      <c r="L271" s="6">
        <v>46022</v>
      </c>
      <c r="M271" s="5" t="s">
        <v>866</v>
      </c>
    </row>
    <row r="272" spans="1:13" s="2" customFormat="1" ht="51.75" x14ac:dyDescent="0.25">
      <c r="A272" s="3">
        <v>268</v>
      </c>
      <c r="B272" s="4" t="str">
        <f>HYPERLINK("https://my.zakupivli.pro/remote/dispatcher/state_purchase_view/63597636", "UA-2025-11-19-002100-a")</f>
        <v>UA-2025-11-19-002100-a</v>
      </c>
      <c r="C272" s="5" t="s">
        <v>820</v>
      </c>
      <c r="D272" s="5" t="s">
        <v>340</v>
      </c>
      <c r="E272" s="5" t="s">
        <v>506</v>
      </c>
      <c r="F272" s="5" t="s">
        <v>466</v>
      </c>
      <c r="G272" s="5" t="s">
        <v>206</v>
      </c>
      <c r="H272" s="5" t="s">
        <v>147</v>
      </c>
      <c r="I272" s="3">
        <v>235</v>
      </c>
      <c r="J272" s="5" t="s">
        <v>598</v>
      </c>
      <c r="K272" s="6">
        <v>45980</v>
      </c>
      <c r="L272" s="6">
        <v>46022</v>
      </c>
      <c r="M272" s="5" t="s">
        <v>866</v>
      </c>
    </row>
    <row r="273" spans="1:13" s="2" customFormat="1" ht="39" x14ac:dyDescent="0.25">
      <c r="A273" s="3">
        <v>269</v>
      </c>
      <c r="B273" s="4" t="str">
        <f>HYPERLINK("https://my.zakupivli.pro/remote/dispatcher/state_purchase_view/60871815", "UA-2025-07-23-003431-a")</f>
        <v>UA-2025-07-23-003431-a</v>
      </c>
      <c r="C273" s="5" t="s">
        <v>807</v>
      </c>
      <c r="D273" s="5" t="s">
        <v>90</v>
      </c>
      <c r="E273" s="5" t="s">
        <v>506</v>
      </c>
      <c r="F273" s="5" t="s">
        <v>591</v>
      </c>
      <c r="G273" s="5" t="s">
        <v>160</v>
      </c>
      <c r="H273" s="5" t="s">
        <v>109</v>
      </c>
      <c r="I273" s="3">
        <v>7275</v>
      </c>
      <c r="J273" s="5" t="s">
        <v>598</v>
      </c>
      <c r="K273" s="6">
        <v>45861</v>
      </c>
      <c r="L273" s="6">
        <v>46022</v>
      </c>
      <c r="M273" s="5" t="s">
        <v>866</v>
      </c>
    </row>
    <row r="274" spans="1:13" s="2" customFormat="1" ht="26.25" x14ac:dyDescent="0.25">
      <c r="A274" s="3">
        <v>270</v>
      </c>
      <c r="B274" s="4" t="str">
        <f>HYPERLINK("https://my.zakupivli.pro/remote/dispatcher/state_purchase_view/61212640", "UA-2025-08-11-006956-a")</f>
        <v>UA-2025-08-11-006956-a</v>
      </c>
      <c r="C274" s="5" t="s">
        <v>801</v>
      </c>
      <c r="D274" s="5" t="s">
        <v>313</v>
      </c>
      <c r="E274" s="5" t="s">
        <v>506</v>
      </c>
      <c r="F274" s="5" t="s">
        <v>722</v>
      </c>
      <c r="G274" s="5" t="s">
        <v>218</v>
      </c>
      <c r="H274" s="5" t="s">
        <v>40</v>
      </c>
      <c r="I274" s="3">
        <v>30327</v>
      </c>
      <c r="J274" s="5" t="s">
        <v>598</v>
      </c>
      <c r="K274" s="6">
        <v>45880</v>
      </c>
      <c r="L274" s="6">
        <v>46022</v>
      </c>
      <c r="M274" s="5" t="s">
        <v>866</v>
      </c>
    </row>
    <row r="275" spans="1:13" s="2" customFormat="1" ht="39" x14ac:dyDescent="0.25">
      <c r="A275" s="3">
        <v>271</v>
      </c>
      <c r="B275" s="4" t="str">
        <f>HYPERLINK("https://my.zakupivli.pro/remote/dispatcher/state_purchase_view/65027617", "UA-2025-12-30-005905-a")</f>
        <v>UA-2025-12-30-005905-a</v>
      </c>
      <c r="C275" s="5" t="s">
        <v>661</v>
      </c>
      <c r="D275" s="5" t="s">
        <v>309</v>
      </c>
      <c r="E275" s="5" t="s">
        <v>506</v>
      </c>
      <c r="F275" s="5" t="s">
        <v>576</v>
      </c>
      <c r="G275" s="5" t="s">
        <v>250</v>
      </c>
      <c r="H275" s="5" t="s">
        <v>239</v>
      </c>
      <c r="I275" s="3">
        <v>676</v>
      </c>
      <c r="J275" s="5" t="s">
        <v>598</v>
      </c>
      <c r="K275" s="6">
        <v>46021</v>
      </c>
      <c r="L275" s="6">
        <v>46022</v>
      </c>
      <c r="M275" s="5" t="s">
        <v>866</v>
      </c>
    </row>
    <row r="276" spans="1:13" s="2" customFormat="1" ht="26.25" x14ac:dyDescent="0.25">
      <c r="A276" s="3">
        <v>272</v>
      </c>
      <c r="B276" s="4" t="str">
        <f>HYPERLINK("https://my.zakupivli.pro/remote/dispatcher/state_purchase_view/56443343", "UA-2025-01-10-001839-a")</f>
        <v>UA-2025-01-10-001839-a</v>
      </c>
      <c r="C276" s="5" t="s">
        <v>478</v>
      </c>
      <c r="D276" s="5" t="s">
        <v>252</v>
      </c>
      <c r="E276" s="5" t="s">
        <v>506</v>
      </c>
      <c r="F276" s="5" t="s">
        <v>480</v>
      </c>
      <c r="G276" s="5" t="s">
        <v>176</v>
      </c>
      <c r="H276" s="5" t="s">
        <v>49</v>
      </c>
      <c r="I276" s="3">
        <v>4100</v>
      </c>
      <c r="J276" s="5" t="s">
        <v>598</v>
      </c>
      <c r="K276" s="6">
        <v>45667</v>
      </c>
      <c r="L276" s="6">
        <v>46022</v>
      </c>
      <c r="M276" s="5" t="s">
        <v>866</v>
      </c>
    </row>
    <row r="277" spans="1:13" s="2" customFormat="1" ht="64.5" x14ac:dyDescent="0.25">
      <c r="A277" s="3">
        <v>273</v>
      </c>
      <c r="B277" s="4" t="str">
        <f>HYPERLINK("https://my.zakupivli.pro/remote/dispatcher/state_purchase_view/57049776", "UA-2025-01-30-002517-a")</f>
        <v>UA-2025-01-30-002517-a</v>
      </c>
      <c r="C277" s="5" t="s">
        <v>631</v>
      </c>
      <c r="D277" s="5" t="s">
        <v>409</v>
      </c>
      <c r="E277" s="5" t="s">
        <v>506</v>
      </c>
      <c r="F277" s="5" t="s">
        <v>694</v>
      </c>
      <c r="G277" s="5" t="s">
        <v>311</v>
      </c>
      <c r="H277" s="5" t="s">
        <v>8</v>
      </c>
      <c r="I277" s="3">
        <v>3600</v>
      </c>
      <c r="J277" s="5" t="s">
        <v>705</v>
      </c>
      <c r="K277" s="6">
        <v>45687</v>
      </c>
      <c r="L277" s="6">
        <v>46022</v>
      </c>
      <c r="M277" s="5" t="s">
        <v>866</v>
      </c>
    </row>
    <row r="278" spans="1:13" s="2" customFormat="1" ht="26.25" x14ac:dyDescent="0.25">
      <c r="A278" s="3">
        <v>274</v>
      </c>
      <c r="B278" s="4" t="str">
        <f>HYPERLINK("https://my.zakupivli.pro/remote/dispatcher/state_purchase_view/58122573", "UA-2025-03-17-001911-a")</f>
        <v>UA-2025-03-17-001911-a</v>
      </c>
      <c r="C278" s="5" t="s">
        <v>347</v>
      </c>
      <c r="D278" s="5" t="s">
        <v>347</v>
      </c>
      <c r="E278" s="5" t="s">
        <v>506</v>
      </c>
      <c r="F278" s="5" t="s">
        <v>466</v>
      </c>
      <c r="G278" s="5" t="s">
        <v>206</v>
      </c>
      <c r="H278" s="5" t="s">
        <v>393</v>
      </c>
      <c r="I278" s="3">
        <v>12580</v>
      </c>
      <c r="J278" s="5" t="s">
        <v>598</v>
      </c>
      <c r="K278" s="6">
        <v>45733</v>
      </c>
      <c r="L278" s="6">
        <v>46022</v>
      </c>
      <c r="M278" s="5" t="s">
        <v>866</v>
      </c>
    </row>
    <row r="279" spans="1:13" s="2" customFormat="1" ht="26.25" x14ac:dyDescent="0.25">
      <c r="A279" s="3">
        <v>275</v>
      </c>
      <c r="B279" s="4" t="str">
        <f>HYPERLINK("https://my.zakupivli.pro/remote/dispatcher/state_purchase_view/58125143", "UA-2025-03-17-003038-a")</f>
        <v>UA-2025-03-17-003038-a</v>
      </c>
      <c r="C279" s="5" t="s">
        <v>757</v>
      </c>
      <c r="D279" s="5" t="s">
        <v>353</v>
      </c>
      <c r="E279" s="5" t="s">
        <v>506</v>
      </c>
      <c r="F279" s="5" t="s">
        <v>525</v>
      </c>
      <c r="G279" s="5" t="s">
        <v>205</v>
      </c>
      <c r="H279" s="5" t="s">
        <v>394</v>
      </c>
      <c r="I279" s="3">
        <v>255</v>
      </c>
      <c r="J279" s="5" t="s">
        <v>598</v>
      </c>
      <c r="K279" s="6">
        <v>45733</v>
      </c>
      <c r="L279" s="6">
        <v>46022</v>
      </c>
      <c r="M279" s="5" t="s">
        <v>866</v>
      </c>
    </row>
    <row r="280" spans="1:13" s="2" customFormat="1" ht="26.25" x14ac:dyDescent="0.25">
      <c r="A280" s="3">
        <v>276</v>
      </c>
      <c r="B280" s="4" t="str">
        <f>HYPERLINK("https://my.zakupivli.pro/remote/dispatcher/state_purchase_view/58588083", "UA-2025-04-07-005958-a")</f>
        <v>UA-2025-04-07-005958-a</v>
      </c>
      <c r="C280" s="5" t="s">
        <v>766</v>
      </c>
      <c r="D280" s="5" t="s">
        <v>185</v>
      </c>
      <c r="E280" s="5" t="s">
        <v>506</v>
      </c>
      <c r="F280" s="5" t="s">
        <v>525</v>
      </c>
      <c r="G280" s="5" t="s">
        <v>205</v>
      </c>
      <c r="H280" s="5" t="s">
        <v>445</v>
      </c>
      <c r="I280" s="3">
        <v>350</v>
      </c>
      <c r="J280" s="5" t="s">
        <v>598</v>
      </c>
      <c r="K280" s="6">
        <v>45754</v>
      </c>
      <c r="L280" s="6">
        <v>46022</v>
      </c>
      <c r="M280" s="5" t="s">
        <v>866</v>
      </c>
    </row>
    <row r="281" spans="1:13" s="2" customFormat="1" ht="39" x14ac:dyDescent="0.25">
      <c r="A281" s="3">
        <v>277</v>
      </c>
      <c r="B281" s="4" t="str">
        <f>HYPERLINK("https://my.zakupivli.pro/remote/dispatcher/state_purchase_view/56310666", "UA-2025-01-01-000421-a")</f>
        <v>UA-2025-01-01-000421-a</v>
      </c>
      <c r="C281" s="5" t="s">
        <v>595</v>
      </c>
      <c r="D281" s="5" t="s">
        <v>409</v>
      </c>
      <c r="E281" s="5" t="s">
        <v>506</v>
      </c>
      <c r="F281" s="5" t="s">
        <v>727</v>
      </c>
      <c r="G281" s="5" t="s">
        <v>202</v>
      </c>
      <c r="H281" s="5" t="s">
        <v>282</v>
      </c>
      <c r="I281" s="3">
        <v>34500</v>
      </c>
      <c r="J281" s="5" t="s">
        <v>598</v>
      </c>
      <c r="K281" s="6">
        <v>45658</v>
      </c>
      <c r="L281" s="6">
        <v>46022</v>
      </c>
      <c r="M281" s="5" t="s">
        <v>866</v>
      </c>
    </row>
    <row r="282" spans="1:13" s="2" customFormat="1" ht="64.5" x14ac:dyDescent="0.25">
      <c r="A282" s="3">
        <v>278</v>
      </c>
      <c r="B282" s="4" t="str">
        <f>HYPERLINK("https://my.zakupivli.pro/remote/dispatcher/state_purchase_view/56312407", "UA-2025-01-01-001131-a")</f>
        <v>UA-2025-01-01-001131-a</v>
      </c>
      <c r="C282" s="5" t="s">
        <v>550</v>
      </c>
      <c r="D282" s="5" t="s">
        <v>425</v>
      </c>
      <c r="E282" s="5" t="s">
        <v>506</v>
      </c>
      <c r="F282" s="5" t="s">
        <v>711</v>
      </c>
      <c r="G282" s="5" t="s">
        <v>318</v>
      </c>
      <c r="H282" s="5" t="s">
        <v>271</v>
      </c>
      <c r="I282" s="3">
        <v>4824</v>
      </c>
      <c r="J282" s="5" t="s">
        <v>705</v>
      </c>
      <c r="K282" s="6">
        <v>45658</v>
      </c>
      <c r="L282" s="6">
        <v>46022</v>
      </c>
      <c r="M282" s="5" t="s">
        <v>866</v>
      </c>
    </row>
    <row r="283" spans="1:13" s="2" customFormat="1" ht="26.25" x14ac:dyDescent="0.25">
      <c r="A283" s="3">
        <v>279</v>
      </c>
      <c r="B283" s="4" t="str">
        <f>HYPERLINK("https://my.zakupivli.pro/remote/dispatcher/state_purchase_view/58128879", "UA-2025-03-17-004648-a")</f>
        <v>UA-2025-03-17-004648-a</v>
      </c>
      <c r="C283" s="5" t="s">
        <v>352</v>
      </c>
      <c r="D283" s="5" t="s">
        <v>352</v>
      </c>
      <c r="E283" s="5" t="s">
        <v>506</v>
      </c>
      <c r="F283" s="5" t="s">
        <v>514</v>
      </c>
      <c r="G283" s="5" t="s">
        <v>173</v>
      </c>
      <c r="H283" s="5" t="s">
        <v>397</v>
      </c>
      <c r="I283" s="3">
        <v>1316</v>
      </c>
      <c r="J283" s="5" t="s">
        <v>598</v>
      </c>
      <c r="K283" s="6">
        <v>45733</v>
      </c>
      <c r="L283" s="6">
        <v>46022</v>
      </c>
      <c r="M283" s="5" t="s">
        <v>866</v>
      </c>
    </row>
    <row r="284" spans="1:13" s="2" customFormat="1" ht="26.25" x14ac:dyDescent="0.25">
      <c r="A284" s="3">
        <v>280</v>
      </c>
      <c r="B284" s="4" t="str">
        <f>HYPERLINK("https://my.zakupivli.pro/remote/dispatcher/state_purchase_view/59443957", "UA-2025-05-15-004790-a")</f>
        <v>UA-2025-05-15-004790-a</v>
      </c>
      <c r="C284" s="5" t="s">
        <v>753</v>
      </c>
      <c r="D284" s="5" t="s">
        <v>76</v>
      </c>
      <c r="E284" s="5" t="s">
        <v>506</v>
      </c>
      <c r="F284" s="5" t="s">
        <v>525</v>
      </c>
      <c r="G284" s="5" t="s">
        <v>205</v>
      </c>
      <c r="H284" s="5" t="s">
        <v>47</v>
      </c>
      <c r="I284" s="3">
        <v>200</v>
      </c>
      <c r="J284" s="5" t="s">
        <v>598</v>
      </c>
      <c r="K284" s="6">
        <v>45792</v>
      </c>
      <c r="L284" s="6">
        <v>46022</v>
      </c>
      <c r="M284" s="5" t="s">
        <v>866</v>
      </c>
    </row>
    <row r="285" spans="1:13" s="2" customFormat="1" ht="51.75" x14ac:dyDescent="0.25">
      <c r="A285" s="3">
        <v>281</v>
      </c>
      <c r="B285" s="4" t="str">
        <f>HYPERLINK("https://my.zakupivli.pro/remote/dispatcher/state_purchase_view/58960829", "UA-2025-04-24-003750-a")</f>
        <v>UA-2025-04-24-003750-a</v>
      </c>
      <c r="C285" s="5" t="s">
        <v>845</v>
      </c>
      <c r="D285" s="5" t="s">
        <v>329</v>
      </c>
      <c r="E285" s="5" t="s">
        <v>506</v>
      </c>
      <c r="F285" s="5" t="s">
        <v>466</v>
      </c>
      <c r="G285" s="5" t="s">
        <v>206</v>
      </c>
      <c r="H285" s="5" t="s">
        <v>34</v>
      </c>
      <c r="I285" s="3">
        <v>1050</v>
      </c>
      <c r="J285" s="5" t="s">
        <v>598</v>
      </c>
      <c r="K285" s="6">
        <v>45771</v>
      </c>
      <c r="L285" s="6">
        <v>46022</v>
      </c>
      <c r="M285" s="5" t="s">
        <v>866</v>
      </c>
    </row>
    <row r="286" spans="1:13" s="2" customFormat="1" ht="39" x14ac:dyDescent="0.25">
      <c r="A286" s="3">
        <v>282</v>
      </c>
      <c r="B286" s="4" t="str">
        <f>HYPERLINK("https://my.zakupivli.pro/remote/dispatcher/state_purchase_view/60745539", "UA-2025-07-16-004599-a")</f>
        <v>UA-2025-07-16-004599-a</v>
      </c>
      <c r="C286" s="5" t="s">
        <v>669</v>
      </c>
      <c r="D286" s="5" t="s">
        <v>300</v>
      </c>
      <c r="E286" s="5" t="s">
        <v>506</v>
      </c>
      <c r="F286" s="5" t="s">
        <v>512</v>
      </c>
      <c r="G286" s="5" t="s">
        <v>240</v>
      </c>
      <c r="H286" s="5" t="s">
        <v>104</v>
      </c>
      <c r="I286" s="3">
        <v>22400</v>
      </c>
      <c r="J286" s="5" t="s">
        <v>598</v>
      </c>
      <c r="K286" s="6">
        <v>45854</v>
      </c>
      <c r="L286" s="6">
        <v>46022</v>
      </c>
      <c r="M286" s="5" t="s">
        <v>866</v>
      </c>
    </row>
    <row r="287" spans="1:13" s="2" customFormat="1" ht="26.25" x14ac:dyDescent="0.25">
      <c r="A287" s="3">
        <v>283</v>
      </c>
      <c r="B287" s="4" t="str">
        <f>HYPERLINK("https://my.zakupivli.pro/remote/dispatcher/state_purchase_view/61182881", "UA-2025-08-08-005585-a")</f>
        <v>UA-2025-08-08-005585-a</v>
      </c>
      <c r="C287" s="5" t="s">
        <v>453</v>
      </c>
      <c r="D287" s="5" t="s">
        <v>217</v>
      </c>
      <c r="E287" s="5" t="s">
        <v>506</v>
      </c>
      <c r="F287" s="5" t="s">
        <v>608</v>
      </c>
      <c r="G287" s="5" t="s">
        <v>221</v>
      </c>
      <c r="H287" s="5" t="s">
        <v>118</v>
      </c>
      <c r="I287" s="3">
        <v>500</v>
      </c>
      <c r="J287" s="5" t="s">
        <v>598</v>
      </c>
      <c r="K287" s="6">
        <v>45877</v>
      </c>
      <c r="L287" s="6">
        <v>46022</v>
      </c>
      <c r="M287" s="5" t="s">
        <v>866</v>
      </c>
    </row>
    <row r="288" spans="1:13" s="2" customFormat="1" ht="77.25" x14ac:dyDescent="0.25">
      <c r="A288" s="3">
        <v>284</v>
      </c>
      <c r="B288" s="4" t="str">
        <f>HYPERLINK("https://my.zakupivli.pro/remote/dispatcher/state_purchase_view/61674444", "UA-2025-09-03-002405-a")</f>
        <v>UA-2025-09-03-002405-a</v>
      </c>
      <c r="C288" s="5" t="s">
        <v>814</v>
      </c>
      <c r="D288" s="5" t="s">
        <v>377</v>
      </c>
      <c r="E288" s="5" t="s">
        <v>506</v>
      </c>
      <c r="F288" s="5" t="s">
        <v>563</v>
      </c>
      <c r="G288" s="5" t="s">
        <v>172</v>
      </c>
      <c r="H288" s="5" t="s">
        <v>419</v>
      </c>
      <c r="I288" s="3">
        <v>8400</v>
      </c>
      <c r="J288" s="5" t="s">
        <v>598</v>
      </c>
      <c r="K288" s="6">
        <v>45903</v>
      </c>
      <c r="L288" s="6">
        <v>46022</v>
      </c>
      <c r="M288" s="5" t="s">
        <v>866</v>
      </c>
    </row>
    <row r="289" spans="1:13" s="2" customFormat="1" ht="39" x14ac:dyDescent="0.25">
      <c r="A289" s="3">
        <v>285</v>
      </c>
      <c r="B289" s="4" t="str">
        <f>HYPERLINK("https://my.zakupivli.pro/remote/dispatcher/state_purchase_view/61910858", "UA-2025-09-12-006780-a")</f>
        <v>UA-2025-09-12-006780-a</v>
      </c>
      <c r="C289" s="5" t="s">
        <v>489</v>
      </c>
      <c r="D289" s="5" t="s">
        <v>85</v>
      </c>
      <c r="E289" s="5" t="s">
        <v>506</v>
      </c>
      <c r="F289" s="5" t="s">
        <v>591</v>
      </c>
      <c r="G289" s="5" t="s">
        <v>160</v>
      </c>
      <c r="H289" s="5" t="s">
        <v>122</v>
      </c>
      <c r="I289" s="7">
        <v>7361.22</v>
      </c>
      <c r="J289" s="5" t="s">
        <v>598</v>
      </c>
      <c r="K289" s="6">
        <v>45912</v>
      </c>
      <c r="L289" s="6">
        <v>46022</v>
      </c>
      <c r="M289" s="5" t="s">
        <v>866</v>
      </c>
    </row>
    <row r="290" spans="1:13" s="2" customFormat="1" ht="39" x14ac:dyDescent="0.25">
      <c r="A290" s="3">
        <v>286</v>
      </c>
      <c r="B290" s="4" t="str">
        <f>HYPERLINK("https://my.zakupivli.pro/remote/dispatcher/state_purchase_view/61911310", "UA-2025-09-12-006984-a")</f>
        <v>UA-2025-09-12-006984-a</v>
      </c>
      <c r="C290" s="5" t="s">
        <v>490</v>
      </c>
      <c r="D290" s="5" t="s">
        <v>95</v>
      </c>
      <c r="E290" s="5" t="s">
        <v>506</v>
      </c>
      <c r="F290" s="5" t="s">
        <v>591</v>
      </c>
      <c r="G290" s="5" t="s">
        <v>160</v>
      </c>
      <c r="H290" s="5" t="s">
        <v>122</v>
      </c>
      <c r="I290" s="3">
        <v>2900</v>
      </c>
      <c r="J290" s="5" t="s">
        <v>598</v>
      </c>
      <c r="K290" s="6">
        <v>45912</v>
      </c>
      <c r="L290" s="6">
        <v>46022</v>
      </c>
      <c r="M290" s="5" t="s">
        <v>866</v>
      </c>
    </row>
    <row r="291" spans="1:13" s="2" customFormat="1" ht="39" x14ac:dyDescent="0.25">
      <c r="A291" s="3">
        <v>287</v>
      </c>
      <c r="B291" s="4" t="str">
        <f>HYPERLINK("https://my.zakupivli.pro/remote/dispatcher/state_purchase_view/60828985", "UA-2025-07-21-007729-a")</f>
        <v>UA-2025-07-21-007729-a</v>
      </c>
      <c r="C291" s="5" t="s">
        <v>793</v>
      </c>
      <c r="D291" s="5" t="s">
        <v>213</v>
      </c>
      <c r="E291" s="5" t="s">
        <v>506</v>
      </c>
      <c r="F291" s="5" t="s">
        <v>514</v>
      </c>
      <c r="G291" s="5" t="s">
        <v>173</v>
      </c>
      <c r="H291" s="5" t="s">
        <v>107</v>
      </c>
      <c r="I291" s="3">
        <v>25</v>
      </c>
      <c r="J291" s="5" t="s">
        <v>598</v>
      </c>
      <c r="K291" s="6">
        <v>45859</v>
      </c>
      <c r="L291" s="6">
        <v>46022</v>
      </c>
      <c r="M291" s="5" t="s">
        <v>866</v>
      </c>
    </row>
    <row r="292" spans="1:13" s="2" customFormat="1" ht="51.75" x14ac:dyDescent="0.25">
      <c r="A292" s="3">
        <v>288</v>
      </c>
      <c r="B292" s="4" t="str">
        <f>HYPERLINK("https://my.zakupivli.pro/remote/dispatcher/state_purchase_view/60969182", "UA-2025-07-29-001558-a")</f>
        <v>UA-2025-07-29-001558-a</v>
      </c>
      <c r="C292" s="5" t="s">
        <v>777</v>
      </c>
      <c r="D292" s="5" t="s">
        <v>329</v>
      </c>
      <c r="E292" s="5" t="s">
        <v>506</v>
      </c>
      <c r="F292" s="5" t="s">
        <v>466</v>
      </c>
      <c r="G292" s="5" t="s">
        <v>206</v>
      </c>
      <c r="H292" s="5" t="s">
        <v>116</v>
      </c>
      <c r="I292" s="3">
        <v>830</v>
      </c>
      <c r="J292" s="5" t="s">
        <v>598</v>
      </c>
      <c r="K292" s="6">
        <v>45867</v>
      </c>
      <c r="L292" s="6">
        <v>46022</v>
      </c>
      <c r="M292" s="5" t="s">
        <v>866</v>
      </c>
    </row>
    <row r="293" spans="1:13" s="2" customFormat="1" ht="26.25" x14ac:dyDescent="0.25">
      <c r="A293" s="3">
        <v>289</v>
      </c>
      <c r="B293" s="4" t="str">
        <f>HYPERLINK("https://my.zakupivli.pro/remote/dispatcher/state_purchase_view/60970318", "UA-2025-07-29-002106-a")</f>
        <v>UA-2025-07-29-002106-a</v>
      </c>
      <c r="C293" s="5" t="s">
        <v>780</v>
      </c>
      <c r="D293" s="5" t="s">
        <v>76</v>
      </c>
      <c r="E293" s="5" t="s">
        <v>506</v>
      </c>
      <c r="F293" s="5" t="s">
        <v>466</v>
      </c>
      <c r="G293" s="5" t="s">
        <v>206</v>
      </c>
      <c r="H293" s="5" t="s">
        <v>116</v>
      </c>
      <c r="I293" s="3">
        <v>116</v>
      </c>
      <c r="J293" s="5" t="s">
        <v>598</v>
      </c>
      <c r="K293" s="6">
        <v>45867</v>
      </c>
      <c r="L293" s="6">
        <v>46022</v>
      </c>
      <c r="M293" s="5" t="s">
        <v>866</v>
      </c>
    </row>
    <row r="294" spans="1:13" s="2" customFormat="1" ht="26.25" x14ac:dyDescent="0.25">
      <c r="A294" s="3">
        <v>290</v>
      </c>
      <c r="B294" s="4" t="str">
        <f>HYPERLINK("https://my.zakupivli.pro/remote/dispatcher/state_purchase_view/60024378", "UA-2025-06-11-005329-a")</f>
        <v>UA-2025-06-11-005329-a</v>
      </c>
      <c r="C294" s="5" t="s">
        <v>753</v>
      </c>
      <c r="D294" s="5" t="s">
        <v>76</v>
      </c>
      <c r="E294" s="5" t="s">
        <v>506</v>
      </c>
      <c r="F294" s="5" t="s">
        <v>525</v>
      </c>
      <c r="G294" s="5" t="s">
        <v>205</v>
      </c>
      <c r="H294" s="5" t="s">
        <v>66</v>
      </c>
      <c r="I294" s="3">
        <v>540</v>
      </c>
      <c r="J294" s="5" t="s">
        <v>598</v>
      </c>
      <c r="K294" s="6">
        <v>45819</v>
      </c>
      <c r="L294" s="6">
        <v>46022</v>
      </c>
      <c r="M294" s="5" t="s">
        <v>866</v>
      </c>
    </row>
    <row r="295" spans="1:13" s="2" customFormat="1" ht="39" x14ac:dyDescent="0.25">
      <c r="A295" s="3">
        <v>291</v>
      </c>
      <c r="B295" s="4" t="str">
        <f>HYPERLINK("https://my.zakupivli.pro/remote/dispatcher/state_purchase_view/60023052", "UA-2025-06-11-004693-a")</f>
        <v>UA-2025-06-11-004693-a</v>
      </c>
      <c r="C295" s="5" t="s">
        <v>566</v>
      </c>
      <c r="D295" s="5" t="s">
        <v>299</v>
      </c>
      <c r="E295" s="5" t="s">
        <v>506</v>
      </c>
      <c r="F295" s="5" t="s">
        <v>525</v>
      </c>
      <c r="G295" s="5" t="s">
        <v>205</v>
      </c>
      <c r="H295" s="5" t="s">
        <v>66</v>
      </c>
      <c r="I295" s="3">
        <v>41184</v>
      </c>
      <c r="J295" s="5" t="s">
        <v>598</v>
      </c>
      <c r="K295" s="6">
        <v>45819</v>
      </c>
      <c r="L295" s="6">
        <v>46022</v>
      </c>
      <c r="M295" s="5" t="s">
        <v>866</v>
      </c>
    </row>
    <row r="296" spans="1:13" s="2" customFormat="1" ht="64.5" x14ac:dyDescent="0.25">
      <c r="A296" s="3">
        <v>292</v>
      </c>
      <c r="B296" s="4" t="str">
        <f>HYPERLINK("https://my.zakupivli.pro/remote/dispatcher/state_purchase_view/59821703", "UA-2025-06-02-009883-a")</f>
        <v>UA-2025-06-02-009883-a</v>
      </c>
      <c r="C296" s="5" t="s">
        <v>542</v>
      </c>
      <c r="D296" s="5" t="s">
        <v>400</v>
      </c>
      <c r="E296" s="5" t="s">
        <v>506</v>
      </c>
      <c r="F296" s="5" t="s">
        <v>461</v>
      </c>
      <c r="G296" s="5" t="s">
        <v>316</v>
      </c>
      <c r="H296" s="5" t="s">
        <v>606</v>
      </c>
      <c r="I296" s="7">
        <v>11911.68</v>
      </c>
      <c r="J296" s="5" t="s">
        <v>705</v>
      </c>
      <c r="K296" s="6">
        <v>45810</v>
      </c>
      <c r="L296" s="6">
        <v>46022</v>
      </c>
      <c r="M296" s="5" t="s">
        <v>866</v>
      </c>
    </row>
    <row r="297" spans="1:13" s="2" customFormat="1" ht="64.5" x14ac:dyDescent="0.25">
      <c r="A297" s="3">
        <v>293</v>
      </c>
      <c r="B297" s="4" t="str">
        <f>HYPERLINK("https://my.zakupivli.pro/remote/dispatcher/state_purchase_view/60331452", "UA-2025-06-25-003100-a")</f>
        <v>UA-2025-06-25-003100-a</v>
      </c>
      <c r="C297" s="5" t="s">
        <v>796</v>
      </c>
      <c r="D297" s="5" t="s">
        <v>306</v>
      </c>
      <c r="E297" s="5" t="s">
        <v>506</v>
      </c>
      <c r="F297" s="5" t="s">
        <v>514</v>
      </c>
      <c r="G297" s="5" t="s">
        <v>173</v>
      </c>
      <c r="H297" s="5" t="s">
        <v>78</v>
      </c>
      <c r="I297" s="3">
        <v>165</v>
      </c>
      <c r="J297" s="5" t="s">
        <v>598</v>
      </c>
      <c r="K297" s="6">
        <v>45833</v>
      </c>
      <c r="L297" s="6">
        <v>46022</v>
      </c>
      <c r="M297" s="5" t="s">
        <v>866</v>
      </c>
    </row>
    <row r="298" spans="1:13" s="2" customFormat="1" ht="51.75" x14ac:dyDescent="0.25">
      <c r="A298" s="3">
        <v>294</v>
      </c>
      <c r="B298" s="4" t="str">
        <f>HYPERLINK("https://my.zakupivli.pro/remote/dispatcher/state_purchase_view/62645423", "UA-2025-10-14-009111-a")</f>
        <v>UA-2025-10-14-009111-a</v>
      </c>
      <c r="C298" s="5" t="s">
        <v>539</v>
      </c>
      <c r="D298" s="5" t="s">
        <v>356</v>
      </c>
      <c r="E298" s="5" t="s">
        <v>506</v>
      </c>
      <c r="F298" s="5" t="s">
        <v>698</v>
      </c>
      <c r="G298" s="5" t="s">
        <v>327</v>
      </c>
      <c r="H298" s="5" t="s">
        <v>134</v>
      </c>
      <c r="I298" s="3">
        <v>8990</v>
      </c>
      <c r="J298" s="5" t="s">
        <v>598</v>
      </c>
      <c r="K298" s="6">
        <v>45944</v>
      </c>
      <c r="L298" s="6">
        <v>46022</v>
      </c>
      <c r="M298" s="5" t="s">
        <v>866</v>
      </c>
    </row>
    <row r="299" spans="1:13" s="2" customFormat="1" ht="51.75" x14ac:dyDescent="0.25">
      <c r="A299" s="3">
        <v>295</v>
      </c>
      <c r="B299" s="4" t="str">
        <f>HYPERLINK("https://my.zakupivli.pro/remote/dispatcher/state_purchase_view/62646346", "UA-2025-10-14-009547-a")</f>
        <v>UA-2025-10-14-009547-a</v>
      </c>
      <c r="C299" s="5" t="s">
        <v>616</v>
      </c>
      <c r="D299" s="5" t="s">
        <v>131</v>
      </c>
      <c r="E299" s="5" t="s">
        <v>506</v>
      </c>
      <c r="F299" s="5" t="s">
        <v>698</v>
      </c>
      <c r="G299" s="5" t="s">
        <v>327</v>
      </c>
      <c r="H299" s="5" t="s">
        <v>134</v>
      </c>
      <c r="I299" s="3">
        <v>3444</v>
      </c>
      <c r="J299" s="5" t="s">
        <v>598</v>
      </c>
      <c r="K299" s="6">
        <v>45944</v>
      </c>
      <c r="L299" s="6">
        <v>46022</v>
      </c>
      <c r="M299" s="5" t="s">
        <v>866</v>
      </c>
    </row>
    <row r="300" spans="1:13" s="2" customFormat="1" ht="39" x14ac:dyDescent="0.25">
      <c r="A300" s="3">
        <v>296</v>
      </c>
      <c r="B300" s="4" t="str">
        <f>HYPERLINK("https://my.zakupivli.pro/remote/dispatcher/state_purchase_view/59639099", "UA-2025-05-23-008009-a")</f>
        <v>UA-2025-05-23-008009-a</v>
      </c>
      <c r="C300" s="5" t="s">
        <v>584</v>
      </c>
      <c r="D300" s="5" t="s">
        <v>87</v>
      </c>
      <c r="E300" s="5" t="s">
        <v>506</v>
      </c>
      <c r="F300" s="5" t="s">
        <v>591</v>
      </c>
      <c r="G300" s="5" t="s">
        <v>160</v>
      </c>
      <c r="H300" s="5" t="s">
        <v>53</v>
      </c>
      <c r="I300" s="3">
        <v>5100</v>
      </c>
      <c r="J300" s="5" t="s">
        <v>598</v>
      </c>
      <c r="K300" s="6">
        <v>45800</v>
      </c>
      <c r="L300" s="6">
        <v>46022</v>
      </c>
      <c r="M300" s="5" t="s">
        <v>866</v>
      </c>
    </row>
    <row r="301" spans="1:13" s="2" customFormat="1" ht="39" x14ac:dyDescent="0.25">
      <c r="A301" s="3">
        <v>297</v>
      </c>
      <c r="B301" s="4" t="str">
        <f>HYPERLINK("https://my.zakupivli.pro/remote/dispatcher/state_purchase_view/59340084", "UA-2025-05-12-002329-a")</f>
        <v>UA-2025-05-12-002329-a</v>
      </c>
      <c r="C301" s="5" t="s">
        <v>668</v>
      </c>
      <c r="D301" s="5" t="s">
        <v>341</v>
      </c>
      <c r="E301" s="5" t="s">
        <v>506</v>
      </c>
      <c r="F301" s="5" t="s">
        <v>505</v>
      </c>
      <c r="G301" s="5" t="s">
        <v>143</v>
      </c>
      <c r="H301" s="5" t="s">
        <v>20</v>
      </c>
      <c r="I301" s="7">
        <v>12043.44</v>
      </c>
      <c r="J301" s="5" t="s">
        <v>705</v>
      </c>
      <c r="K301" s="6">
        <v>45786</v>
      </c>
      <c r="L301" s="6">
        <v>46022</v>
      </c>
      <c r="M301" s="5" t="s">
        <v>866</v>
      </c>
    </row>
    <row r="302" spans="1:13" s="2" customFormat="1" ht="77.25" x14ac:dyDescent="0.25">
      <c r="A302" s="3">
        <v>298</v>
      </c>
      <c r="B302" s="4" t="str">
        <f>HYPERLINK("https://my.zakupivli.pro/remote/dispatcher/state_purchase_view/62273910", "UA-2025-09-29-002149-a")</f>
        <v>UA-2025-09-29-002149-a</v>
      </c>
      <c r="C302" s="5" t="s">
        <v>540</v>
      </c>
      <c r="D302" s="5" t="s">
        <v>380</v>
      </c>
      <c r="E302" s="5" t="s">
        <v>506</v>
      </c>
      <c r="F302" s="5" t="s">
        <v>653</v>
      </c>
      <c r="G302" s="5" t="s">
        <v>214</v>
      </c>
      <c r="H302" s="5" t="s">
        <v>204</v>
      </c>
      <c r="I302" s="3">
        <v>8040</v>
      </c>
      <c r="J302" s="5" t="s">
        <v>598</v>
      </c>
      <c r="K302" s="6">
        <v>45929</v>
      </c>
      <c r="L302" s="6">
        <v>46022</v>
      </c>
      <c r="M302" s="5" t="s">
        <v>866</v>
      </c>
    </row>
    <row r="303" spans="1:13" s="2" customFormat="1" ht="51.75" x14ac:dyDescent="0.25">
      <c r="A303" s="3">
        <v>299</v>
      </c>
      <c r="B303" s="4" t="str">
        <f>HYPERLINK("https://my.zakupivli.pro/remote/dispatcher/state_purchase_view/62308266", "UA-2025-09-30-004638-a")</f>
        <v>UA-2025-09-30-004638-a</v>
      </c>
      <c r="C303" s="5" t="s">
        <v>667</v>
      </c>
      <c r="D303" s="5" t="s">
        <v>301</v>
      </c>
      <c r="E303" s="5" t="s">
        <v>506</v>
      </c>
      <c r="F303" s="5" t="s">
        <v>700</v>
      </c>
      <c r="G303" s="5" t="s">
        <v>287</v>
      </c>
      <c r="H303" s="5" t="s">
        <v>126</v>
      </c>
      <c r="I303" s="3">
        <v>15745</v>
      </c>
      <c r="J303" s="5" t="s">
        <v>705</v>
      </c>
      <c r="K303" s="6">
        <v>45930</v>
      </c>
      <c r="L303" s="6">
        <v>46022</v>
      </c>
      <c r="M303" s="5" t="s">
        <v>866</v>
      </c>
    </row>
    <row r="304" spans="1:13" s="2" customFormat="1" ht="51.75" x14ac:dyDescent="0.25">
      <c r="A304" s="3">
        <v>300</v>
      </c>
      <c r="B304" s="4" t="str">
        <f>HYPERLINK("https://my.zakupivli.pro/remote/dispatcher/state_purchase_view/62311622", "UA-2025-09-30-006186-a")</f>
        <v>UA-2025-09-30-006186-a</v>
      </c>
      <c r="C304" s="5" t="s">
        <v>852</v>
      </c>
      <c r="D304" s="5" t="s">
        <v>303</v>
      </c>
      <c r="E304" s="5" t="s">
        <v>506</v>
      </c>
      <c r="F304" s="5" t="s">
        <v>700</v>
      </c>
      <c r="G304" s="5" t="s">
        <v>287</v>
      </c>
      <c r="H304" s="5" t="s">
        <v>126</v>
      </c>
      <c r="I304" s="3">
        <v>4700</v>
      </c>
      <c r="J304" s="5" t="s">
        <v>705</v>
      </c>
      <c r="K304" s="6">
        <v>45930</v>
      </c>
      <c r="L304" s="6">
        <v>46022</v>
      </c>
      <c r="M304" s="5" t="s">
        <v>866</v>
      </c>
    </row>
    <row r="305" spans="1:13" s="2" customFormat="1" ht="26.25" x14ac:dyDescent="0.25">
      <c r="A305" s="3">
        <v>301</v>
      </c>
      <c r="B305" s="4" t="str">
        <f>HYPERLINK("https://my.zakupivli.pro/remote/dispatcher/state_purchase_view/65029793", "UA-2025-12-30-006959-a")</f>
        <v>UA-2025-12-30-006959-a</v>
      </c>
      <c r="C305" s="5" t="s">
        <v>491</v>
      </c>
      <c r="D305" s="5" t="s">
        <v>88</v>
      </c>
      <c r="E305" s="5" t="s">
        <v>506</v>
      </c>
      <c r="F305" s="5" t="s">
        <v>564</v>
      </c>
      <c r="G305" s="5" t="s">
        <v>231</v>
      </c>
      <c r="H305" s="5" t="s">
        <v>183</v>
      </c>
      <c r="I305" s="3">
        <v>6000</v>
      </c>
      <c r="J305" s="5" t="s">
        <v>598</v>
      </c>
      <c r="K305" s="6">
        <v>46021</v>
      </c>
      <c r="L305" s="6">
        <v>46022</v>
      </c>
      <c r="M305" s="5" t="s">
        <v>866</v>
      </c>
    </row>
    <row r="306" spans="1:13" s="2" customFormat="1" ht="39" x14ac:dyDescent="0.25">
      <c r="A306" s="3">
        <v>302</v>
      </c>
      <c r="B306" s="4" t="str">
        <f>HYPERLINK("https://my.zakupivli.pro/remote/dispatcher/state_purchase_view/65027336", "UA-2025-12-30-005780-a")</f>
        <v>UA-2025-12-30-005780-a</v>
      </c>
      <c r="C306" s="5" t="s">
        <v>800</v>
      </c>
      <c r="D306" s="5" t="s">
        <v>313</v>
      </c>
      <c r="E306" s="5" t="s">
        <v>506</v>
      </c>
      <c r="F306" s="5" t="s">
        <v>576</v>
      </c>
      <c r="G306" s="5" t="s">
        <v>250</v>
      </c>
      <c r="H306" s="5" t="s">
        <v>239</v>
      </c>
      <c r="I306" s="3">
        <v>6049</v>
      </c>
      <c r="J306" s="5" t="s">
        <v>598</v>
      </c>
      <c r="K306" s="6">
        <v>46021</v>
      </c>
      <c r="L306" s="6">
        <v>46022</v>
      </c>
      <c r="M306" s="5" t="s">
        <v>866</v>
      </c>
    </row>
    <row r="307" spans="1:13" s="2" customFormat="1" ht="26.25" x14ac:dyDescent="0.25">
      <c r="A307" s="3">
        <v>303</v>
      </c>
      <c r="B307" s="4" t="str">
        <f>HYPERLINK("https://my.zakupivli.pro/remote/dispatcher/state_purchase_view/63570886", "UA-2025-11-18-008253-a")</f>
        <v>UA-2025-11-18-008253-a</v>
      </c>
      <c r="C307" s="5" t="s">
        <v>618</v>
      </c>
      <c r="D307" s="5" t="s">
        <v>167</v>
      </c>
      <c r="E307" s="5" t="s">
        <v>506</v>
      </c>
      <c r="F307" s="5" t="s">
        <v>722</v>
      </c>
      <c r="G307" s="5" t="s">
        <v>218</v>
      </c>
      <c r="H307" s="5" t="s">
        <v>124</v>
      </c>
      <c r="I307" s="3">
        <v>501</v>
      </c>
      <c r="J307" s="5" t="s">
        <v>598</v>
      </c>
      <c r="K307" s="6">
        <v>45979</v>
      </c>
      <c r="L307" s="6">
        <v>46022</v>
      </c>
      <c r="M307" s="5" t="s">
        <v>866</v>
      </c>
    </row>
    <row r="308" spans="1:13" s="2" customFormat="1" ht="409.6" x14ac:dyDescent="0.25">
      <c r="A308" s="3">
        <v>304</v>
      </c>
      <c r="B308" s="4" t="str">
        <f>HYPERLINK("https://my.zakupivli.pro/remote/dispatcher/state_purchase_view/63750318", "UA-2025-11-24-014485-a")</f>
        <v>UA-2025-11-24-014485-a</v>
      </c>
      <c r="C308" s="5" t="s">
        <v>581</v>
      </c>
      <c r="D308" s="5" t="s">
        <v>260</v>
      </c>
      <c r="E308" s="5" t="s">
        <v>479</v>
      </c>
      <c r="F308" s="5" t="s">
        <v>659</v>
      </c>
      <c r="G308" s="5" t="s">
        <v>336</v>
      </c>
      <c r="H308" s="5" t="s">
        <v>158</v>
      </c>
      <c r="I308" s="7">
        <v>246339.85</v>
      </c>
      <c r="J308" s="5" t="s">
        <v>705</v>
      </c>
      <c r="K308" s="6">
        <v>46000</v>
      </c>
      <c r="L308" s="6">
        <v>46022</v>
      </c>
      <c r="M308" s="5" t="s">
        <v>866</v>
      </c>
    </row>
    <row r="309" spans="1:13" s="2" customFormat="1" ht="64.5" x14ac:dyDescent="0.25">
      <c r="A309" s="3">
        <v>305</v>
      </c>
      <c r="B309" s="4" t="str">
        <f>HYPERLINK("https://my.zakupivli.pro/remote/dispatcher/state_purchase_view/64297551", "UA-2025-12-10-006592-a")</f>
        <v>UA-2025-12-10-006592-a</v>
      </c>
      <c r="C309" s="5" t="s">
        <v>786</v>
      </c>
      <c r="D309" s="5" t="s">
        <v>306</v>
      </c>
      <c r="E309" s="5" t="s">
        <v>506</v>
      </c>
      <c r="F309" s="5" t="s">
        <v>514</v>
      </c>
      <c r="G309" s="5" t="s">
        <v>173</v>
      </c>
      <c r="H309" s="5" t="s">
        <v>163</v>
      </c>
      <c r="I309" s="3">
        <v>163</v>
      </c>
      <c r="J309" s="5" t="s">
        <v>598</v>
      </c>
      <c r="K309" s="6">
        <v>46001</v>
      </c>
      <c r="L309" s="6">
        <v>46022</v>
      </c>
      <c r="M309" s="5" t="s">
        <v>866</v>
      </c>
    </row>
    <row r="310" spans="1:13" s="2" customFormat="1" ht="26.25" x14ac:dyDescent="0.25">
      <c r="A310" s="3">
        <v>306</v>
      </c>
      <c r="B310" s="4" t="str">
        <f>HYPERLINK("https://my.zakupivli.pro/remote/dispatcher/state_purchase_view/64300342", "UA-2025-12-10-007618-a")</f>
        <v>UA-2025-12-10-007618-a</v>
      </c>
      <c r="C310" s="5" t="s">
        <v>851</v>
      </c>
      <c r="D310" s="5" t="s">
        <v>339</v>
      </c>
      <c r="E310" s="5" t="s">
        <v>506</v>
      </c>
      <c r="F310" s="5" t="s">
        <v>514</v>
      </c>
      <c r="G310" s="5" t="s">
        <v>173</v>
      </c>
      <c r="H310" s="5" t="s">
        <v>163</v>
      </c>
      <c r="I310" s="3">
        <v>340</v>
      </c>
      <c r="J310" s="5" t="s">
        <v>598</v>
      </c>
      <c r="K310" s="6">
        <v>46001</v>
      </c>
      <c r="L310" s="6">
        <v>46022</v>
      </c>
      <c r="M310" s="5" t="s">
        <v>733</v>
      </c>
    </row>
    <row r="311" spans="1:13" s="2" customFormat="1" ht="51.75" x14ac:dyDescent="0.25">
      <c r="A311" s="3">
        <v>307</v>
      </c>
      <c r="B311" s="4" t="str">
        <f>HYPERLINK("https://my.zakupivli.pro/remote/dispatcher/state_purchase_view/64302428", "UA-2025-12-10-008505-a")</f>
        <v>UA-2025-12-10-008505-a</v>
      </c>
      <c r="C311" s="5" t="s">
        <v>772</v>
      </c>
      <c r="D311" s="5" t="s">
        <v>340</v>
      </c>
      <c r="E311" s="5" t="s">
        <v>506</v>
      </c>
      <c r="F311" s="5" t="s">
        <v>514</v>
      </c>
      <c r="G311" s="5" t="s">
        <v>173</v>
      </c>
      <c r="H311" s="5" t="s">
        <v>163</v>
      </c>
      <c r="I311" s="3">
        <v>76</v>
      </c>
      <c r="J311" s="5" t="s">
        <v>598</v>
      </c>
      <c r="K311" s="6">
        <v>46001</v>
      </c>
      <c r="L311" s="6">
        <v>46022</v>
      </c>
      <c r="M311" s="5" t="s">
        <v>866</v>
      </c>
    </row>
    <row r="312" spans="1:13" s="2" customFormat="1" ht="39" x14ac:dyDescent="0.25">
      <c r="A312" s="3">
        <v>308</v>
      </c>
      <c r="B312" s="4" t="str">
        <f>HYPERLINK("https://my.zakupivli.pro/remote/dispatcher/state_purchase_view/63834278", "UA-2025-11-26-012001-a")</f>
        <v>UA-2025-11-26-012001-a</v>
      </c>
      <c r="C312" s="5" t="s">
        <v>723</v>
      </c>
      <c r="D312" s="5" t="s">
        <v>94</v>
      </c>
      <c r="E312" s="5" t="s">
        <v>508</v>
      </c>
      <c r="F312" s="5" t="s">
        <v>675</v>
      </c>
      <c r="G312" s="5" t="s">
        <v>334</v>
      </c>
      <c r="H312" s="5" t="s">
        <v>157</v>
      </c>
      <c r="I312" s="7">
        <v>8100</v>
      </c>
      <c r="J312" s="5" t="s">
        <v>705</v>
      </c>
      <c r="K312" s="6">
        <v>45994</v>
      </c>
      <c r="L312" s="6">
        <v>46022</v>
      </c>
      <c r="M312" s="5" t="s">
        <v>866</v>
      </c>
    </row>
    <row r="313" spans="1:13" s="2" customFormat="1" ht="26.25" x14ac:dyDescent="0.25">
      <c r="A313" s="3">
        <v>309</v>
      </c>
      <c r="B313" s="4" t="str">
        <f>HYPERLINK("https://my.zakupivli.pro/remote/dispatcher/state_purchase_view/56600664", "UA-2025-01-16-006284-a")</f>
        <v>UA-2025-01-16-006284-a</v>
      </c>
      <c r="C313" s="5" t="s">
        <v>623</v>
      </c>
      <c r="D313" s="5" t="s">
        <v>312</v>
      </c>
      <c r="E313" s="5" t="s">
        <v>506</v>
      </c>
      <c r="F313" s="5" t="s">
        <v>463</v>
      </c>
      <c r="G313" s="5" t="s">
        <v>246</v>
      </c>
      <c r="H313" s="5" t="s">
        <v>113</v>
      </c>
      <c r="I313" s="3">
        <v>34000</v>
      </c>
      <c r="J313" s="5" t="s">
        <v>705</v>
      </c>
      <c r="K313" s="6">
        <v>45673</v>
      </c>
      <c r="L313" s="6">
        <v>46022</v>
      </c>
      <c r="M313" s="5" t="s">
        <v>866</v>
      </c>
    </row>
    <row r="314" spans="1:13" s="2" customFormat="1" ht="51.75" x14ac:dyDescent="0.25">
      <c r="A314" s="3">
        <v>310</v>
      </c>
      <c r="B314" s="4" t="str">
        <f>HYPERLINK("https://my.zakupivli.pro/remote/dispatcher/state_purchase_view/56807201", "UA-2025-01-22-014527-a")</f>
        <v>UA-2025-01-22-014527-a</v>
      </c>
      <c r="C314" s="5" t="s">
        <v>493</v>
      </c>
      <c r="D314" s="5" t="s">
        <v>10</v>
      </c>
      <c r="E314" s="5" t="s">
        <v>506</v>
      </c>
      <c r="F314" s="5" t="s">
        <v>591</v>
      </c>
      <c r="G314" s="5" t="s">
        <v>160</v>
      </c>
      <c r="H314" s="5" t="s">
        <v>169</v>
      </c>
      <c r="I314" s="3">
        <v>2232</v>
      </c>
      <c r="J314" s="5" t="s">
        <v>598</v>
      </c>
      <c r="K314" s="6">
        <v>45679</v>
      </c>
      <c r="L314" s="6">
        <v>46022</v>
      </c>
      <c r="M314" s="5" t="s">
        <v>866</v>
      </c>
    </row>
    <row r="315" spans="1:13" s="2" customFormat="1" ht="51.75" x14ac:dyDescent="0.25">
      <c r="A315" s="3">
        <v>311</v>
      </c>
      <c r="B315" s="4" t="str">
        <f>HYPERLINK("https://my.zakupivli.pro/remote/dispatcher/state_purchase_view/56571051", "UA-2025-01-15-011514-a")</f>
        <v>UA-2025-01-15-011514-a</v>
      </c>
      <c r="C315" s="5" t="s">
        <v>638</v>
      </c>
      <c r="D315" s="5" t="s">
        <v>441</v>
      </c>
      <c r="E315" s="5" t="s">
        <v>506</v>
      </c>
      <c r="F315" s="5" t="s">
        <v>524</v>
      </c>
      <c r="G315" s="5" t="s">
        <v>321</v>
      </c>
      <c r="H315" s="5" t="s">
        <v>15</v>
      </c>
      <c r="I315" s="3">
        <v>57400</v>
      </c>
      <c r="J315" s="5" t="s">
        <v>705</v>
      </c>
      <c r="K315" s="6">
        <v>45672</v>
      </c>
      <c r="L315" s="6">
        <v>46022</v>
      </c>
      <c r="M315" s="5" t="s">
        <v>866</v>
      </c>
    </row>
    <row r="316" spans="1:13" s="2" customFormat="1" ht="26.25" x14ac:dyDescent="0.25">
      <c r="A316" s="3">
        <v>312</v>
      </c>
      <c r="B316" s="4" t="str">
        <f>HYPERLINK("https://my.zakupivli.pro/remote/dispatcher/state_purchase_view/57025278", "UA-2025-01-29-010544-a")</f>
        <v>UA-2025-01-29-010544-a</v>
      </c>
      <c r="C316" s="5" t="s">
        <v>830</v>
      </c>
      <c r="D316" s="5" t="s">
        <v>292</v>
      </c>
      <c r="E316" s="5" t="s">
        <v>506</v>
      </c>
      <c r="F316" s="5" t="s">
        <v>505</v>
      </c>
      <c r="G316" s="5" t="s">
        <v>143</v>
      </c>
      <c r="H316" s="5" t="s">
        <v>136</v>
      </c>
      <c r="I316" s="7">
        <v>651.96</v>
      </c>
      <c r="J316" s="5" t="s">
        <v>705</v>
      </c>
      <c r="K316" s="6">
        <v>45686</v>
      </c>
      <c r="L316" s="6">
        <v>46022</v>
      </c>
      <c r="M316" s="5" t="s">
        <v>866</v>
      </c>
    </row>
    <row r="317" spans="1:13" s="2" customFormat="1" ht="39" x14ac:dyDescent="0.25">
      <c r="A317" s="3">
        <v>313</v>
      </c>
      <c r="B317" s="4" t="str">
        <f>HYPERLINK("https://my.zakupivli.pro/remote/dispatcher/state_purchase_view/57782236", "UA-2025-02-28-002305-a")</f>
        <v>UA-2025-02-28-002305-a</v>
      </c>
      <c r="C317" s="5" t="s">
        <v>586</v>
      </c>
      <c r="D317" s="5" t="s">
        <v>84</v>
      </c>
      <c r="E317" s="5" t="s">
        <v>506</v>
      </c>
      <c r="F317" s="5" t="s">
        <v>591</v>
      </c>
      <c r="G317" s="5" t="s">
        <v>160</v>
      </c>
      <c r="H317" s="5" t="s">
        <v>374</v>
      </c>
      <c r="I317" s="3">
        <v>17430</v>
      </c>
      <c r="J317" s="5" t="s">
        <v>598</v>
      </c>
      <c r="K317" s="6">
        <v>45716</v>
      </c>
      <c r="L317" s="6">
        <v>46022</v>
      </c>
      <c r="M317" s="5" t="s">
        <v>866</v>
      </c>
    </row>
    <row r="318" spans="1:13" s="2" customFormat="1" ht="26.25" x14ac:dyDescent="0.25">
      <c r="A318" s="3">
        <v>314</v>
      </c>
      <c r="B318" s="4" t="str">
        <f>HYPERLINK("https://my.zakupivli.pro/remote/dispatcher/state_purchase_view/57784615", "UA-2025-02-28-003413-a")</f>
        <v>UA-2025-02-28-003413-a</v>
      </c>
      <c r="C318" s="5" t="s">
        <v>491</v>
      </c>
      <c r="D318" s="5" t="s">
        <v>88</v>
      </c>
      <c r="E318" s="5" t="s">
        <v>506</v>
      </c>
      <c r="F318" s="5" t="s">
        <v>591</v>
      </c>
      <c r="G318" s="5" t="s">
        <v>160</v>
      </c>
      <c r="H318" s="5" t="s">
        <v>382</v>
      </c>
      <c r="I318" s="3">
        <v>6900</v>
      </c>
      <c r="J318" s="5" t="s">
        <v>598</v>
      </c>
      <c r="K318" s="6">
        <v>45716</v>
      </c>
      <c r="L318" s="6">
        <v>46022</v>
      </c>
      <c r="M318" s="5" t="s">
        <v>866</v>
      </c>
    </row>
    <row r="319" spans="1:13" s="2" customFormat="1" ht="51.75" x14ac:dyDescent="0.25">
      <c r="A319" s="3">
        <v>315</v>
      </c>
      <c r="B319" s="4" t="str">
        <f>HYPERLINK("https://my.zakupivli.pro/remote/dispatcher/state_purchase_view/57260360", "UA-2025-02-06-009462-a")</f>
        <v>UA-2025-02-06-009462-a</v>
      </c>
      <c r="C319" s="5" t="s">
        <v>647</v>
      </c>
      <c r="D319" s="5" t="s">
        <v>379</v>
      </c>
      <c r="E319" s="5" t="s">
        <v>506</v>
      </c>
      <c r="F319" s="5" t="s">
        <v>526</v>
      </c>
      <c r="G319" s="5" t="s">
        <v>210</v>
      </c>
      <c r="H319" s="5" t="s">
        <v>188</v>
      </c>
      <c r="I319" s="3">
        <v>5010</v>
      </c>
      <c r="J319" s="5" t="s">
        <v>598</v>
      </c>
      <c r="K319" s="6">
        <v>45694</v>
      </c>
      <c r="L319" s="6">
        <v>46022</v>
      </c>
      <c r="M319" s="5" t="s">
        <v>866</v>
      </c>
    </row>
    <row r="320" spans="1:13" s="2" customFormat="1" ht="26.25" x14ac:dyDescent="0.25">
      <c r="A320" s="3">
        <v>316</v>
      </c>
      <c r="B320" s="4" t="str">
        <f>HYPERLINK("https://my.zakupivli.pro/remote/dispatcher/state_purchase_view/58123361", "UA-2025-03-17-002284-a")</f>
        <v>UA-2025-03-17-002284-a</v>
      </c>
      <c r="C320" s="5" t="s">
        <v>829</v>
      </c>
      <c r="D320" s="5" t="s">
        <v>121</v>
      </c>
      <c r="E320" s="5" t="s">
        <v>506</v>
      </c>
      <c r="F320" s="5" t="s">
        <v>466</v>
      </c>
      <c r="G320" s="5" t="s">
        <v>206</v>
      </c>
      <c r="H320" s="5" t="s">
        <v>393</v>
      </c>
      <c r="I320" s="3">
        <v>72</v>
      </c>
      <c r="J320" s="5" t="s">
        <v>598</v>
      </c>
      <c r="K320" s="6">
        <v>45733</v>
      </c>
      <c r="L320" s="6">
        <v>46022</v>
      </c>
      <c r="M320" s="5" t="s">
        <v>866</v>
      </c>
    </row>
    <row r="321" spans="1:13" s="2" customFormat="1" ht="26.25" x14ac:dyDescent="0.25">
      <c r="A321" s="3">
        <v>317</v>
      </c>
      <c r="B321" s="4" t="str">
        <f>HYPERLINK("https://my.zakupivli.pro/remote/dispatcher/state_purchase_view/58122832", "UA-2025-03-17-002055-a")</f>
        <v>UA-2025-03-17-002055-a</v>
      </c>
      <c r="C321" s="5" t="s">
        <v>843</v>
      </c>
      <c r="D321" s="5" t="s">
        <v>22</v>
      </c>
      <c r="E321" s="5" t="s">
        <v>506</v>
      </c>
      <c r="F321" s="5" t="s">
        <v>466</v>
      </c>
      <c r="G321" s="5" t="s">
        <v>206</v>
      </c>
      <c r="H321" s="5" t="s">
        <v>393</v>
      </c>
      <c r="I321" s="3">
        <v>260</v>
      </c>
      <c r="J321" s="5" t="s">
        <v>598</v>
      </c>
      <c r="K321" s="6">
        <v>45733</v>
      </c>
      <c r="L321" s="6">
        <v>46022</v>
      </c>
      <c r="M321" s="5" t="s">
        <v>866</v>
      </c>
    </row>
    <row r="322" spans="1:13" s="2" customFormat="1" ht="26.25" x14ac:dyDescent="0.25">
      <c r="A322" s="3">
        <v>318</v>
      </c>
      <c r="B322" s="4" t="str">
        <f>HYPERLINK("https://my.zakupivli.pro/remote/dispatcher/state_purchase_view/58123816", "UA-2025-03-17-002455-a")</f>
        <v>UA-2025-03-17-002455-a</v>
      </c>
      <c r="C322" s="5" t="s">
        <v>787</v>
      </c>
      <c r="D322" s="5" t="s">
        <v>232</v>
      </c>
      <c r="E322" s="5" t="s">
        <v>506</v>
      </c>
      <c r="F322" s="5" t="s">
        <v>466</v>
      </c>
      <c r="G322" s="5" t="s">
        <v>206</v>
      </c>
      <c r="H322" s="5" t="s">
        <v>393</v>
      </c>
      <c r="I322" s="3">
        <v>515</v>
      </c>
      <c r="J322" s="5" t="s">
        <v>598</v>
      </c>
      <c r="K322" s="6">
        <v>45733</v>
      </c>
      <c r="L322" s="6">
        <v>46022</v>
      </c>
      <c r="M322" s="5" t="s">
        <v>866</v>
      </c>
    </row>
    <row r="323" spans="1:13" s="2" customFormat="1" ht="51.75" x14ac:dyDescent="0.25">
      <c r="A323" s="3">
        <v>319</v>
      </c>
      <c r="B323" s="4" t="str">
        <f>HYPERLINK("https://my.zakupivli.pro/remote/dispatcher/state_purchase_view/58165404", "UA-2025-03-18-007226-a")</f>
        <v>UA-2025-03-18-007226-a</v>
      </c>
      <c r="C323" s="5" t="s">
        <v>3</v>
      </c>
      <c r="D323" s="5" t="s">
        <v>399</v>
      </c>
      <c r="E323" s="5" t="s">
        <v>506</v>
      </c>
      <c r="F323" s="5" t="s">
        <v>462</v>
      </c>
      <c r="G323" s="5" t="s">
        <v>149</v>
      </c>
      <c r="H323" s="5" t="s">
        <v>9</v>
      </c>
      <c r="I323" s="3">
        <v>15000</v>
      </c>
      <c r="J323" s="5" t="s">
        <v>705</v>
      </c>
      <c r="K323" s="6">
        <v>45734</v>
      </c>
      <c r="L323" s="6">
        <v>46022</v>
      </c>
      <c r="M323" s="5" t="s">
        <v>866</v>
      </c>
    </row>
    <row r="324" spans="1:13" s="2" customFormat="1" ht="26.25" x14ac:dyDescent="0.25">
      <c r="A324" s="3">
        <v>320</v>
      </c>
      <c r="B324" s="4" t="str">
        <f>HYPERLINK("https://my.zakupivli.pro/remote/dispatcher/state_purchase_view/58325171", "UA-2025-03-25-005696-a")</f>
        <v>UA-2025-03-25-005696-a</v>
      </c>
      <c r="C324" s="5" t="s">
        <v>798</v>
      </c>
      <c r="D324" s="5" t="s">
        <v>245</v>
      </c>
      <c r="E324" s="5" t="s">
        <v>506</v>
      </c>
      <c r="F324" s="5" t="s">
        <v>474</v>
      </c>
      <c r="G324" s="5" t="s">
        <v>280</v>
      </c>
      <c r="H324" s="5" t="s">
        <v>415</v>
      </c>
      <c r="I324" s="3">
        <v>3329</v>
      </c>
      <c r="J324" s="5" t="s">
        <v>598</v>
      </c>
      <c r="K324" s="6">
        <v>45741</v>
      </c>
      <c r="L324" s="6">
        <v>46022</v>
      </c>
      <c r="M324" s="5" t="s">
        <v>866</v>
      </c>
    </row>
    <row r="325" spans="1:13" s="2" customFormat="1" ht="64.5" x14ac:dyDescent="0.25">
      <c r="A325" s="3">
        <v>321</v>
      </c>
      <c r="B325" s="4" t="str">
        <f>HYPERLINK("https://my.zakupivli.pro/remote/dispatcher/state_purchase_view/58411316", "UA-2025-03-28-004955-a")</f>
        <v>UA-2025-03-28-004955-a</v>
      </c>
      <c r="C325" s="5" t="s">
        <v>840</v>
      </c>
      <c r="D325" s="5" t="s">
        <v>181</v>
      </c>
      <c r="E325" s="5" t="s">
        <v>506</v>
      </c>
      <c r="F325" s="5" t="s">
        <v>525</v>
      </c>
      <c r="G325" s="5" t="s">
        <v>205</v>
      </c>
      <c r="H325" s="5" t="s">
        <v>421</v>
      </c>
      <c r="I325" s="3">
        <v>39</v>
      </c>
      <c r="J325" s="5" t="s">
        <v>598</v>
      </c>
      <c r="K325" s="6">
        <v>45744</v>
      </c>
      <c r="L325" s="6">
        <v>46022</v>
      </c>
      <c r="M325" s="5" t="s">
        <v>866</v>
      </c>
    </row>
    <row r="326" spans="1:13" s="2" customFormat="1" ht="39" x14ac:dyDescent="0.25">
      <c r="A326" s="3">
        <v>322</v>
      </c>
      <c r="B326" s="4" t="str">
        <f>HYPERLINK("https://my.zakupivli.pro/remote/dispatcher/state_purchase_view/59639846", "UA-2025-05-23-008378-a")</f>
        <v>UA-2025-05-23-008378-a</v>
      </c>
      <c r="C326" s="5" t="s">
        <v>585</v>
      </c>
      <c r="D326" s="5" t="s">
        <v>84</v>
      </c>
      <c r="E326" s="5" t="s">
        <v>506</v>
      </c>
      <c r="F326" s="5" t="s">
        <v>591</v>
      </c>
      <c r="G326" s="5" t="s">
        <v>160</v>
      </c>
      <c r="H326" s="5" t="s">
        <v>57</v>
      </c>
      <c r="I326" s="3">
        <v>19425</v>
      </c>
      <c r="J326" s="5" t="s">
        <v>598</v>
      </c>
      <c r="K326" s="6">
        <v>45800</v>
      </c>
      <c r="L326" s="6">
        <v>46022</v>
      </c>
      <c r="M326" s="5" t="s">
        <v>866</v>
      </c>
    </row>
    <row r="327" spans="1:13" s="2" customFormat="1" ht="51.75" x14ac:dyDescent="0.25">
      <c r="A327" s="3">
        <v>323</v>
      </c>
      <c r="B327" s="4" t="str">
        <f>HYPERLINK("https://my.zakupivli.pro/remote/dispatcher/state_purchase_view/60086262", "UA-2025-06-13-005116-a")</f>
        <v>UA-2025-06-13-005116-a</v>
      </c>
      <c r="C327" s="5" t="s">
        <v>537</v>
      </c>
      <c r="D327" s="5" t="s">
        <v>97</v>
      </c>
      <c r="E327" s="5" t="s">
        <v>506</v>
      </c>
      <c r="F327" s="5" t="s">
        <v>591</v>
      </c>
      <c r="G327" s="5" t="s">
        <v>160</v>
      </c>
      <c r="H327" s="5" t="s">
        <v>70</v>
      </c>
      <c r="I327" s="3">
        <v>3355</v>
      </c>
      <c r="J327" s="5" t="s">
        <v>598</v>
      </c>
      <c r="K327" s="6">
        <v>45821</v>
      </c>
      <c r="L327" s="6">
        <v>46022</v>
      </c>
      <c r="M327" s="5" t="s">
        <v>866</v>
      </c>
    </row>
    <row r="328" spans="1:13" s="2" customFormat="1" ht="64.5" x14ac:dyDescent="0.25">
      <c r="A328" s="3">
        <v>324</v>
      </c>
      <c r="B328" s="4" t="str">
        <f>HYPERLINK("https://my.zakupivli.pro/remote/dispatcher/state_purchase_view/58589299", "UA-2025-04-07-006533-a")</f>
        <v>UA-2025-04-07-006533-a</v>
      </c>
      <c r="C328" s="5" t="s">
        <v>796</v>
      </c>
      <c r="D328" s="5" t="s">
        <v>306</v>
      </c>
      <c r="E328" s="5" t="s">
        <v>506</v>
      </c>
      <c r="F328" s="5" t="s">
        <v>466</v>
      </c>
      <c r="G328" s="5" t="s">
        <v>206</v>
      </c>
      <c r="H328" s="5" t="s">
        <v>446</v>
      </c>
      <c r="I328" s="3">
        <v>405</v>
      </c>
      <c r="J328" s="5" t="s">
        <v>598</v>
      </c>
      <c r="K328" s="6">
        <v>45754</v>
      </c>
      <c r="L328" s="6">
        <v>46022</v>
      </c>
      <c r="M328" s="5" t="s">
        <v>866</v>
      </c>
    </row>
    <row r="329" spans="1:13" s="2" customFormat="1" ht="39" x14ac:dyDescent="0.25">
      <c r="A329" s="3">
        <v>325</v>
      </c>
      <c r="B329" s="4" t="str">
        <f>HYPERLINK("https://my.zakupivli.pro/remote/dispatcher/state_purchase_view/58596426", "UA-2025-04-07-009717-a")</f>
        <v>UA-2025-04-07-009717-a</v>
      </c>
      <c r="C329" s="5" t="s">
        <v>536</v>
      </c>
      <c r="D329" s="5" t="s">
        <v>95</v>
      </c>
      <c r="E329" s="5" t="s">
        <v>506</v>
      </c>
      <c r="F329" s="5" t="s">
        <v>591</v>
      </c>
      <c r="G329" s="5" t="s">
        <v>160</v>
      </c>
      <c r="H329" s="5" t="s">
        <v>449</v>
      </c>
      <c r="I329" s="3">
        <v>5800</v>
      </c>
      <c r="J329" s="5" t="s">
        <v>598</v>
      </c>
      <c r="K329" s="6">
        <v>45754</v>
      </c>
      <c r="L329" s="6">
        <v>46022</v>
      </c>
      <c r="M329" s="5" t="s">
        <v>866</v>
      </c>
    </row>
    <row r="330" spans="1:13" s="2" customFormat="1" ht="51.75" x14ac:dyDescent="0.25">
      <c r="A330" s="3">
        <v>326</v>
      </c>
      <c r="B330" s="4" t="str">
        <f>HYPERLINK("https://my.zakupivli.pro/remote/dispatcher/state_purchase_view/58596903", "UA-2025-04-07-009884-a")</f>
        <v>UA-2025-04-07-009884-a</v>
      </c>
      <c r="C330" s="5" t="s">
        <v>493</v>
      </c>
      <c r="D330" s="5" t="s">
        <v>10</v>
      </c>
      <c r="E330" s="5" t="s">
        <v>506</v>
      </c>
      <c r="F330" s="5" t="s">
        <v>591</v>
      </c>
      <c r="G330" s="5" t="s">
        <v>160</v>
      </c>
      <c r="H330" s="5" t="s">
        <v>450</v>
      </c>
      <c r="I330" s="3">
        <v>4464</v>
      </c>
      <c r="J330" s="5" t="s">
        <v>598</v>
      </c>
      <c r="K330" s="6">
        <v>45754</v>
      </c>
      <c r="L330" s="6">
        <v>46022</v>
      </c>
      <c r="M330" s="5" t="s">
        <v>866</v>
      </c>
    </row>
    <row r="331" spans="1:13" s="2" customFormat="1" ht="39" x14ac:dyDescent="0.25">
      <c r="A331" s="3">
        <v>327</v>
      </c>
      <c r="B331" s="4" t="str">
        <f>HYPERLINK("https://my.zakupivli.pro/remote/dispatcher/state_purchase_view/58960205", "UA-2025-04-24-003450-a")</f>
        <v>UA-2025-04-24-003450-a</v>
      </c>
      <c r="C331" s="5" t="s">
        <v>735</v>
      </c>
      <c r="D331" s="5" t="s">
        <v>235</v>
      </c>
      <c r="E331" s="5" t="s">
        <v>506</v>
      </c>
      <c r="F331" s="5" t="s">
        <v>466</v>
      </c>
      <c r="G331" s="5" t="s">
        <v>206</v>
      </c>
      <c r="H331" s="5" t="s">
        <v>34</v>
      </c>
      <c r="I331" s="3">
        <v>820</v>
      </c>
      <c r="J331" s="5" t="s">
        <v>598</v>
      </c>
      <c r="K331" s="6">
        <v>45771</v>
      </c>
      <c r="L331" s="6">
        <v>46022</v>
      </c>
      <c r="M331" s="5" t="s">
        <v>866</v>
      </c>
    </row>
    <row r="332" spans="1:13" s="2" customFormat="1" ht="90" x14ac:dyDescent="0.25">
      <c r="A332" s="3">
        <v>328</v>
      </c>
      <c r="B332" s="4" t="str">
        <f>HYPERLINK("https://my.zakupivli.pro/remote/dispatcher/state_purchase_view/59470665", "UA-2025-05-16-002971-a")</f>
        <v>UA-2025-05-16-002971-a</v>
      </c>
      <c r="C332" s="5" t="s">
        <v>635</v>
      </c>
      <c r="D332" s="5" t="s">
        <v>418</v>
      </c>
      <c r="E332" s="5" t="s">
        <v>506</v>
      </c>
      <c r="F332" s="5" t="s">
        <v>485</v>
      </c>
      <c r="G332" s="5" t="s">
        <v>247</v>
      </c>
      <c r="H332" s="5" t="s">
        <v>51</v>
      </c>
      <c r="I332" s="7">
        <v>17516.37</v>
      </c>
      <c r="J332" s="5" t="s">
        <v>598</v>
      </c>
      <c r="K332" s="6">
        <v>45793</v>
      </c>
      <c r="L332" s="6">
        <v>46022</v>
      </c>
      <c r="M332" s="5" t="s">
        <v>866</v>
      </c>
    </row>
    <row r="333" spans="1:13" s="2" customFormat="1" ht="166.5" x14ac:dyDescent="0.25">
      <c r="A333" s="3">
        <v>329</v>
      </c>
      <c r="B333" s="4" t="str">
        <f>HYPERLINK("https://my.zakupivli.pro/remote/dispatcher/state_purchase_view/58912780", "UA-2025-04-22-006923-a")</f>
        <v>UA-2025-04-22-006923-a</v>
      </c>
      <c r="C333" s="5" t="s">
        <v>476</v>
      </c>
      <c r="D333" s="5" t="s">
        <v>435</v>
      </c>
      <c r="E333" s="5" t="s">
        <v>506</v>
      </c>
      <c r="F333" s="5" t="s">
        <v>472</v>
      </c>
      <c r="G333" s="5" t="s">
        <v>295</v>
      </c>
      <c r="H333" s="5" t="s">
        <v>112</v>
      </c>
      <c r="I333" s="7">
        <v>62182.720000000001</v>
      </c>
      <c r="J333" s="5" t="s">
        <v>705</v>
      </c>
      <c r="K333" s="6">
        <v>45769</v>
      </c>
      <c r="L333" s="6">
        <v>46022</v>
      </c>
      <c r="M333" s="5" t="s">
        <v>866</v>
      </c>
    </row>
    <row r="334" spans="1:13" s="2" customFormat="1" ht="64.5" x14ac:dyDescent="0.25">
      <c r="A334" s="3">
        <v>330</v>
      </c>
      <c r="B334" s="4" t="str">
        <f>HYPERLINK("https://my.zakupivli.pro/remote/dispatcher/state_purchase_view/60024265", "UA-2025-06-11-005259-a")</f>
        <v>UA-2025-06-11-005259-a</v>
      </c>
      <c r="C334" s="5" t="s">
        <v>815</v>
      </c>
      <c r="D334" s="5" t="s">
        <v>306</v>
      </c>
      <c r="E334" s="5" t="s">
        <v>506</v>
      </c>
      <c r="F334" s="5" t="s">
        <v>525</v>
      </c>
      <c r="G334" s="5" t="s">
        <v>205</v>
      </c>
      <c r="H334" s="5" t="s">
        <v>66</v>
      </c>
      <c r="I334" s="3">
        <v>40</v>
      </c>
      <c r="J334" s="5" t="s">
        <v>598</v>
      </c>
      <c r="K334" s="6">
        <v>45819</v>
      </c>
      <c r="L334" s="6">
        <v>46022</v>
      </c>
      <c r="M334" s="5" t="s">
        <v>866</v>
      </c>
    </row>
    <row r="335" spans="1:13" s="2" customFormat="1" ht="26.25" x14ac:dyDescent="0.25">
      <c r="A335" s="3">
        <v>331</v>
      </c>
      <c r="B335" s="4" t="str">
        <f>HYPERLINK("https://my.zakupivli.pro/remote/dispatcher/state_purchase_view/60330561", "UA-2025-06-25-002740-a")</f>
        <v>UA-2025-06-25-002740-a</v>
      </c>
      <c r="C335" s="5" t="s">
        <v>740</v>
      </c>
      <c r="D335" s="5" t="s">
        <v>352</v>
      </c>
      <c r="E335" s="5" t="s">
        <v>506</v>
      </c>
      <c r="F335" s="5" t="s">
        <v>466</v>
      </c>
      <c r="G335" s="5" t="s">
        <v>206</v>
      </c>
      <c r="H335" s="5" t="s">
        <v>74</v>
      </c>
      <c r="I335" s="3">
        <v>35</v>
      </c>
      <c r="J335" s="5" t="s">
        <v>598</v>
      </c>
      <c r="K335" s="6">
        <v>45833</v>
      </c>
      <c r="L335" s="6">
        <v>46022</v>
      </c>
      <c r="M335" s="5" t="s">
        <v>866</v>
      </c>
    </row>
    <row r="336" spans="1:13" s="2" customFormat="1" ht="39" x14ac:dyDescent="0.25">
      <c r="A336" s="3">
        <v>332</v>
      </c>
      <c r="B336" s="4" t="str">
        <f>HYPERLINK("https://my.zakupivli.pro/remote/dispatcher/state_purchase_view/60902290", "UA-2025-07-24-005086-a")</f>
        <v>UA-2025-07-24-005086-a</v>
      </c>
      <c r="C336" s="5" t="s">
        <v>665</v>
      </c>
      <c r="D336" s="5" t="s">
        <v>308</v>
      </c>
      <c r="E336" s="5" t="s">
        <v>506</v>
      </c>
      <c r="F336" s="5" t="s">
        <v>725</v>
      </c>
      <c r="G336" s="5" t="s">
        <v>193</v>
      </c>
      <c r="H336" s="5" t="s">
        <v>115</v>
      </c>
      <c r="I336" s="3">
        <v>30000</v>
      </c>
      <c r="J336" s="5" t="s">
        <v>598</v>
      </c>
      <c r="K336" s="6">
        <v>45862</v>
      </c>
      <c r="L336" s="6">
        <v>46022</v>
      </c>
      <c r="M336" s="5" t="s">
        <v>866</v>
      </c>
    </row>
    <row r="337" spans="1:13" s="2" customFormat="1" ht="26.25" x14ac:dyDescent="0.25">
      <c r="A337" s="3">
        <v>333</v>
      </c>
      <c r="B337" s="4" t="str">
        <f>HYPERLINK("https://my.zakupivli.pro/remote/dispatcher/state_purchase_view/60872042", "UA-2025-07-23-003578-a")</f>
        <v>UA-2025-07-23-003578-a</v>
      </c>
      <c r="C337" s="5" t="s">
        <v>487</v>
      </c>
      <c r="D337" s="5" t="s">
        <v>12</v>
      </c>
      <c r="E337" s="5" t="s">
        <v>506</v>
      </c>
      <c r="F337" s="5" t="s">
        <v>591</v>
      </c>
      <c r="G337" s="5" t="s">
        <v>160</v>
      </c>
      <c r="H337" s="5" t="s">
        <v>109</v>
      </c>
      <c r="I337" s="3">
        <v>1600</v>
      </c>
      <c r="J337" s="5" t="s">
        <v>598</v>
      </c>
      <c r="K337" s="6">
        <v>45861</v>
      </c>
      <c r="L337" s="6">
        <v>46022</v>
      </c>
      <c r="M337" s="5" t="s">
        <v>866</v>
      </c>
    </row>
    <row r="338" spans="1:13" s="2" customFormat="1" ht="39" x14ac:dyDescent="0.25">
      <c r="A338" s="3">
        <v>334</v>
      </c>
      <c r="B338" s="4" t="str">
        <f>HYPERLINK("https://my.zakupivli.pro/remote/dispatcher/state_purchase_view/60872958", "UA-2025-07-23-003933-a")</f>
        <v>UA-2025-07-23-003933-a</v>
      </c>
      <c r="C338" s="5" t="s">
        <v>488</v>
      </c>
      <c r="D338" s="5" t="s">
        <v>90</v>
      </c>
      <c r="E338" s="5" t="s">
        <v>506</v>
      </c>
      <c r="F338" s="5" t="s">
        <v>591</v>
      </c>
      <c r="G338" s="5" t="s">
        <v>160</v>
      </c>
      <c r="H338" s="5" t="s">
        <v>109</v>
      </c>
      <c r="I338" s="3">
        <v>2600</v>
      </c>
      <c r="J338" s="5" t="s">
        <v>598</v>
      </c>
      <c r="K338" s="6">
        <v>45861</v>
      </c>
      <c r="L338" s="6">
        <v>46022</v>
      </c>
      <c r="M338" s="5" t="s">
        <v>866</v>
      </c>
    </row>
    <row r="339" spans="1:13" s="2" customFormat="1" ht="26.25" x14ac:dyDescent="0.25">
      <c r="A339" s="3">
        <v>335</v>
      </c>
      <c r="B339" s="4" t="str">
        <f>HYPERLINK("https://my.zakupivli.pro/remote/dispatcher/state_purchase_view/60969441", "UA-2025-07-29-001720-a")</f>
        <v>UA-2025-07-29-001720-a</v>
      </c>
      <c r="C339" s="5" t="s">
        <v>834</v>
      </c>
      <c r="D339" s="5" t="s">
        <v>352</v>
      </c>
      <c r="E339" s="5" t="s">
        <v>506</v>
      </c>
      <c r="F339" s="5" t="s">
        <v>466</v>
      </c>
      <c r="G339" s="5" t="s">
        <v>206</v>
      </c>
      <c r="H339" s="5" t="s">
        <v>116</v>
      </c>
      <c r="I339" s="3">
        <v>210</v>
      </c>
      <c r="J339" s="5" t="s">
        <v>598</v>
      </c>
      <c r="K339" s="6">
        <v>45867</v>
      </c>
      <c r="L339" s="6">
        <v>46022</v>
      </c>
      <c r="M339" s="5" t="s">
        <v>866</v>
      </c>
    </row>
    <row r="340" spans="1:13" s="2" customFormat="1" ht="26.25" x14ac:dyDescent="0.25">
      <c r="A340" s="3">
        <v>336</v>
      </c>
      <c r="B340" s="4" t="str">
        <f>HYPERLINK("https://my.zakupivli.pro/remote/dispatcher/state_purchase_view/60828611", "UA-2025-07-21-007598-a")</f>
        <v>UA-2025-07-21-007598-a</v>
      </c>
      <c r="C340" s="5" t="s">
        <v>851</v>
      </c>
      <c r="D340" s="5" t="s">
        <v>339</v>
      </c>
      <c r="E340" s="5" t="s">
        <v>506</v>
      </c>
      <c r="F340" s="5" t="s">
        <v>514</v>
      </c>
      <c r="G340" s="5" t="s">
        <v>173</v>
      </c>
      <c r="H340" s="5" t="s">
        <v>107</v>
      </c>
      <c r="I340" s="3">
        <v>1850</v>
      </c>
      <c r="J340" s="5" t="s">
        <v>598</v>
      </c>
      <c r="K340" s="6">
        <v>45859</v>
      </c>
      <c r="L340" s="6">
        <v>46022</v>
      </c>
      <c r="M340" s="5" t="s">
        <v>866</v>
      </c>
    </row>
    <row r="341" spans="1:13" s="2" customFormat="1" ht="51.75" x14ac:dyDescent="0.25">
      <c r="A341" s="3">
        <v>337</v>
      </c>
      <c r="B341" s="4" t="str">
        <f>HYPERLINK("https://my.zakupivli.pro/remote/dispatcher/state_purchase_view/59898426", "UA-2025-06-05-001622-a")</f>
        <v>UA-2025-06-05-001622-a</v>
      </c>
      <c r="C341" s="5" t="s">
        <v>810</v>
      </c>
      <c r="D341" s="5" t="s">
        <v>278</v>
      </c>
      <c r="E341" s="5" t="s">
        <v>506</v>
      </c>
      <c r="F341" s="5" t="s">
        <v>682</v>
      </c>
      <c r="G341" s="5" t="s">
        <v>242</v>
      </c>
      <c r="H341" s="5" t="s">
        <v>178</v>
      </c>
      <c r="I341" s="7">
        <v>28457.759999999998</v>
      </c>
      <c r="J341" s="5" t="s">
        <v>705</v>
      </c>
      <c r="K341" s="6">
        <v>45813</v>
      </c>
      <c r="L341" s="6">
        <v>46022</v>
      </c>
      <c r="M341" s="5" t="s">
        <v>866</v>
      </c>
    </row>
    <row r="342" spans="1:13" s="2" customFormat="1" ht="51.75" x14ac:dyDescent="0.25">
      <c r="A342" s="3">
        <v>338</v>
      </c>
      <c r="B342" s="4" t="str">
        <f>HYPERLINK("https://my.zakupivli.pro/remote/dispatcher/state_purchase_view/59899326", "UA-2025-06-05-002002-a")</f>
        <v>UA-2025-06-05-002002-a</v>
      </c>
      <c r="C342" s="5" t="s">
        <v>509</v>
      </c>
      <c r="D342" s="5" t="s">
        <v>329</v>
      </c>
      <c r="E342" s="5" t="s">
        <v>506</v>
      </c>
      <c r="F342" s="5" t="s">
        <v>682</v>
      </c>
      <c r="G342" s="5" t="s">
        <v>242</v>
      </c>
      <c r="H342" s="5" t="s">
        <v>178</v>
      </c>
      <c r="I342" s="7">
        <v>5491.2</v>
      </c>
      <c r="J342" s="5" t="s">
        <v>705</v>
      </c>
      <c r="K342" s="6">
        <v>45813</v>
      </c>
      <c r="L342" s="6">
        <v>46022</v>
      </c>
      <c r="M342" s="5" t="s">
        <v>866</v>
      </c>
    </row>
    <row r="343" spans="1:13" s="2" customFormat="1" ht="51.75" x14ac:dyDescent="0.25">
      <c r="A343" s="3">
        <v>339</v>
      </c>
      <c r="B343" s="4" t="str">
        <f>HYPERLINK("https://my.zakupivli.pro/remote/dispatcher/state_purchase_view/62311930", "UA-2025-09-30-006297-a")</f>
        <v>UA-2025-09-30-006297-a</v>
      </c>
      <c r="C343" s="5" t="s">
        <v>774</v>
      </c>
      <c r="D343" s="5" t="s">
        <v>305</v>
      </c>
      <c r="E343" s="5" t="s">
        <v>506</v>
      </c>
      <c r="F343" s="5" t="s">
        <v>700</v>
      </c>
      <c r="G343" s="5" t="s">
        <v>287</v>
      </c>
      <c r="H343" s="5" t="s">
        <v>126</v>
      </c>
      <c r="I343" s="3">
        <v>705</v>
      </c>
      <c r="J343" s="5" t="s">
        <v>705</v>
      </c>
      <c r="K343" s="6">
        <v>45930</v>
      </c>
      <c r="L343" s="6">
        <v>46022</v>
      </c>
      <c r="M343" s="5" t="s">
        <v>866</v>
      </c>
    </row>
    <row r="344" spans="1:13" s="2" customFormat="1" ht="51.75" x14ac:dyDescent="0.25">
      <c r="A344" s="3">
        <v>340</v>
      </c>
      <c r="B344" s="4" t="str">
        <f>HYPERLINK("https://my.zakupivli.pro/remote/dispatcher/state_purchase_view/62311483", "UA-2025-09-30-006110-a")</f>
        <v>UA-2025-09-30-006110-a</v>
      </c>
      <c r="C344" s="5" t="s">
        <v>752</v>
      </c>
      <c r="D344" s="5" t="s">
        <v>299</v>
      </c>
      <c r="E344" s="5" t="s">
        <v>506</v>
      </c>
      <c r="F344" s="5" t="s">
        <v>700</v>
      </c>
      <c r="G344" s="5" t="s">
        <v>287</v>
      </c>
      <c r="H344" s="5" t="s">
        <v>126</v>
      </c>
      <c r="I344" s="3">
        <v>33840</v>
      </c>
      <c r="J344" s="5" t="s">
        <v>705</v>
      </c>
      <c r="K344" s="6">
        <v>45930</v>
      </c>
      <c r="L344" s="6">
        <v>46022</v>
      </c>
      <c r="M344" s="5" t="s">
        <v>866</v>
      </c>
    </row>
    <row r="345" spans="1:13" s="2" customFormat="1" ht="26.25" x14ac:dyDescent="0.25">
      <c r="A345" s="3">
        <v>341</v>
      </c>
      <c r="B345" s="4" t="str">
        <f>HYPERLINK("https://my.zakupivli.pro/remote/dispatcher/state_purchase_view/63598767", "UA-2025-11-19-002572-a")</f>
        <v>UA-2025-11-19-002572-a</v>
      </c>
      <c r="C345" s="5" t="s">
        <v>858</v>
      </c>
      <c r="D345" s="5" t="s">
        <v>354</v>
      </c>
      <c r="E345" s="5" t="s">
        <v>506</v>
      </c>
      <c r="F345" s="5" t="s">
        <v>466</v>
      </c>
      <c r="G345" s="5" t="s">
        <v>206</v>
      </c>
      <c r="H345" s="5" t="s">
        <v>147</v>
      </c>
      <c r="I345" s="3">
        <v>347</v>
      </c>
      <c r="J345" s="5" t="s">
        <v>598</v>
      </c>
      <c r="K345" s="6">
        <v>45980</v>
      </c>
      <c r="L345" s="6">
        <v>46022</v>
      </c>
      <c r="M345" s="5" t="s">
        <v>866</v>
      </c>
    </row>
    <row r="346" spans="1:13" s="2" customFormat="1" ht="26.25" x14ac:dyDescent="0.25">
      <c r="A346" s="3">
        <v>342</v>
      </c>
      <c r="B346" s="4" t="str">
        <f>HYPERLINK("https://my.zakupivli.pro/remote/dispatcher/state_purchase_view/63948881", "UA-2025-12-01-004653-a")</f>
        <v>UA-2025-12-01-004653-a</v>
      </c>
      <c r="C346" s="5" t="s">
        <v>553</v>
      </c>
      <c r="D346" s="5" t="s">
        <v>353</v>
      </c>
      <c r="E346" s="5" t="s">
        <v>506</v>
      </c>
      <c r="F346" s="5" t="s">
        <v>528</v>
      </c>
      <c r="G346" s="5" t="s">
        <v>212</v>
      </c>
      <c r="H346" s="5" t="s">
        <v>154</v>
      </c>
      <c r="I346" s="3">
        <v>110</v>
      </c>
      <c r="J346" s="5" t="s">
        <v>598</v>
      </c>
      <c r="K346" s="6">
        <v>45992</v>
      </c>
      <c r="L346" s="6">
        <v>46022</v>
      </c>
      <c r="M346" s="5" t="s">
        <v>866</v>
      </c>
    </row>
    <row r="347" spans="1:13" s="2" customFormat="1" ht="26.25" x14ac:dyDescent="0.25">
      <c r="A347" s="3">
        <v>343</v>
      </c>
      <c r="B347" s="4" t="str">
        <f>HYPERLINK("https://my.zakupivli.pro/remote/dispatcher/state_purchase_view/63950781", "UA-2025-12-01-005290-a")</f>
        <v>UA-2025-12-01-005290-a</v>
      </c>
      <c r="C347" s="5" t="s">
        <v>719</v>
      </c>
      <c r="D347" s="5" t="s">
        <v>359</v>
      </c>
      <c r="E347" s="5" t="s">
        <v>506</v>
      </c>
      <c r="F347" s="5" t="s">
        <v>528</v>
      </c>
      <c r="G347" s="5" t="s">
        <v>212</v>
      </c>
      <c r="H347" s="5" t="s">
        <v>154</v>
      </c>
      <c r="I347" s="3">
        <v>1810</v>
      </c>
      <c r="J347" s="5" t="s">
        <v>598</v>
      </c>
      <c r="K347" s="6">
        <v>45992</v>
      </c>
      <c r="L347" s="6">
        <v>46022</v>
      </c>
      <c r="M347" s="5" t="s">
        <v>866</v>
      </c>
    </row>
    <row r="348" spans="1:13" s="2" customFormat="1" ht="39" x14ac:dyDescent="0.25">
      <c r="A348" s="3">
        <v>344</v>
      </c>
      <c r="B348" s="4" t="str">
        <f>HYPERLINK("https://my.zakupivli.pro/remote/dispatcher/state_purchase_view/64261670", "UA-2025-12-09-013756-a")</f>
        <v>UA-2025-12-09-013756-a</v>
      </c>
      <c r="C348" s="5" t="s">
        <v>529</v>
      </c>
      <c r="D348" s="5" t="s">
        <v>213</v>
      </c>
      <c r="E348" s="5" t="s">
        <v>506</v>
      </c>
      <c r="F348" s="5" t="s">
        <v>576</v>
      </c>
      <c r="G348" s="5" t="s">
        <v>250</v>
      </c>
      <c r="H348" s="5" t="s">
        <v>148</v>
      </c>
      <c r="I348" s="3">
        <v>5400</v>
      </c>
      <c r="J348" s="5" t="s">
        <v>598</v>
      </c>
      <c r="K348" s="6">
        <v>46000</v>
      </c>
      <c r="L348" s="6">
        <v>46022</v>
      </c>
      <c r="M348" s="5" t="s">
        <v>866</v>
      </c>
    </row>
    <row r="349" spans="1:13" s="2" customFormat="1" ht="39" x14ac:dyDescent="0.25">
      <c r="A349" s="3">
        <v>345</v>
      </c>
      <c r="B349" s="4" t="str">
        <f>HYPERLINK("https://my.zakupivli.pro/remote/dispatcher/state_purchase_view/61911628", "UA-2025-09-12-007109-a")</f>
        <v>UA-2025-09-12-007109-a</v>
      </c>
      <c r="C349" s="5" t="s">
        <v>585</v>
      </c>
      <c r="D349" s="5" t="s">
        <v>84</v>
      </c>
      <c r="E349" s="5" t="s">
        <v>506</v>
      </c>
      <c r="F349" s="5" t="s">
        <v>591</v>
      </c>
      <c r="G349" s="5" t="s">
        <v>160</v>
      </c>
      <c r="H349" s="5" t="s">
        <v>122</v>
      </c>
      <c r="I349" s="3">
        <v>21952</v>
      </c>
      <c r="J349" s="5" t="s">
        <v>598</v>
      </c>
      <c r="K349" s="6">
        <v>45912</v>
      </c>
      <c r="L349" s="6">
        <v>46022</v>
      </c>
      <c r="M349" s="5" t="s">
        <v>866</v>
      </c>
    </row>
    <row r="350" spans="1:13" s="2" customFormat="1" ht="39" x14ac:dyDescent="0.25">
      <c r="A350" s="3">
        <v>346</v>
      </c>
      <c r="B350" s="4" t="str">
        <f>HYPERLINK("https://my.zakupivli.pro/remote/dispatcher/state_purchase_view/62370705", "UA-2025-10-02-007980-a")</f>
        <v>UA-2025-10-02-007980-a</v>
      </c>
      <c r="C350" s="5" t="s">
        <v>627</v>
      </c>
      <c r="D350" s="5" t="s">
        <v>442</v>
      </c>
      <c r="E350" s="5" t="s">
        <v>506</v>
      </c>
      <c r="F350" s="5" t="s">
        <v>611</v>
      </c>
      <c r="G350" s="5" t="s">
        <v>248</v>
      </c>
      <c r="H350" s="5" t="s">
        <v>129</v>
      </c>
      <c r="I350" s="3">
        <v>2853</v>
      </c>
      <c r="J350" s="5" t="s">
        <v>705</v>
      </c>
      <c r="K350" s="6">
        <v>45932</v>
      </c>
      <c r="L350" s="6">
        <v>46022</v>
      </c>
      <c r="M350" s="5" t="s">
        <v>866</v>
      </c>
    </row>
    <row r="351" spans="1:13" s="2" customFormat="1" ht="64.5" x14ac:dyDescent="0.25">
      <c r="A351" s="3">
        <v>347</v>
      </c>
      <c r="B351" s="4" t="str">
        <f>HYPERLINK("https://my.zakupivli.pro/remote/dispatcher/state_purchase_view/62487691", "UA-2025-10-08-001748-a")</f>
        <v>UA-2025-10-08-001748-a</v>
      </c>
      <c r="C351" s="5" t="s">
        <v>628</v>
      </c>
      <c r="D351" s="5" t="s">
        <v>442</v>
      </c>
      <c r="E351" s="5" t="s">
        <v>506</v>
      </c>
      <c r="F351" s="5" t="s">
        <v>611</v>
      </c>
      <c r="G351" s="5" t="s">
        <v>248</v>
      </c>
      <c r="H351" s="5" t="s">
        <v>133</v>
      </c>
      <c r="I351" s="7">
        <v>2259.4</v>
      </c>
      <c r="J351" s="5" t="s">
        <v>705</v>
      </c>
      <c r="K351" s="6">
        <v>45938</v>
      </c>
      <c r="L351" s="6">
        <v>46022</v>
      </c>
      <c r="M351" s="5" t="s">
        <v>866</v>
      </c>
    </row>
    <row r="352" spans="1:13" s="2" customFormat="1" ht="39" x14ac:dyDescent="0.25">
      <c r="A352" s="3">
        <v>348</v>
      </c>
      <c r="B352" s="4" t="str">
        <f>HYPERLINK("https://my.zakupivli.pro/remote/dispatcher/state_purchase_view/64301818", "UA-2025-12-10-008269-a")</f>
        <v>UA-2025-12-10-008269-a</v>
      </c>
      <c r="C352" s="5" t="s">
        <v>844</v>
      </c>
      <c r="D352" s="5" t="s">
        <v>310</v>
      </c>
      <c r="E352" s="5" t="s">
        <v>506</v>
      </c>
      <c r="F352" s="5" t="s">
        <v>514</v>
      </c>
      <c r="G352" s="5" t="s">
        <v>173</v>
      </c>
      <c r="H352" s="5" t="s">
        <v>163</v>
      </c>
      <c r="I352" s="3">
        <v>950</v>
      </c>
      <c r="J352" s="5" t="s">
        <v>598</v>
      </c>
      <c r="K352" s="6">
        <v>46001</v>
      </c>
      <c r="L352" s="6">
        <v>46022</v>
      </c>
      <c r="M352" s="5" t="s">
        <v>866</v>
      </c>
    </row>
    <row r="353" spans="1:13" s="2" customFormat="1" ht="26.25" x14ac:dyDescent="0.25">
      <c r="A353" s="3">
        <v>349</v>
      </c>
      <c r="B353" s="4" t="str">
        <f>HYPERLINK("https://my.zakupivli.pro/remote/dispatcher/state_purchase_view/64302707", "UA-2025-12-10-008671-a")</f>
        <v>UA-2025-12-10-008671-a</v>
      </c>
      <c r="C353" s="5" t="s">
        <v>822</v>
      </c>
      <c r="D353" s="5" t="s">
        <v>346</v>
      </c>
      <c r="E353" s="5" t="s">
        <v>506</v>
      </c>
      <c r="F353" s="5" t="s">
        <v>514</v>
      </c>
      <c r="G353" s="5" t="s">
        <v>173</v>
      </c>
      <c r="H353" s="5" t="s">
        <v>163</v>
      </c>
      <c r="I353" s="3">
        <v>2700</v>
      </c>
      <c r="J353" s="5" t="s">
        <v>598</v>
      </c>
      <c r="K353" s="6">
        <v>46001</v>
      </c>
      <c r="L353" s="6">
        <v>46022</v>
      </c>
      <c r="M353" s="5" t="s">
        <v>866</v>
      </c>
    </row>
    <row r="354" spans="1:13" s="2" customFormat="1" ht="102.75" x14ac:dyDescent="0.25">
      <c r="A354" s="3">
        <v>350</v>
      </c>
      <c r="B354" s="4" t="str">
        <f>HYPERLINK("https://my.zakupivli.pro/remote/dispatcher/state_purchase_view/60202548", "UA-2025-06-19-001155-a")</f>
        <v>UA-2025-06-19-001155-a</v>
      </c>
      <c r="C354" s="5" t="s">
        <v>663</v>
      </c>
      <c r="D354" s="5" t="s">
        <v>331</v>
      </c>
      <c r="E354" s="5" t="s">
        <v>479</v>
      </c>
      <c r="F354" s="5" t="s">
        <v>578</v>
      </c>
      <c r="G354" s="5" t="s">
        <v>332</v>
      </c>
      <c r="H354" s="5" t="s">
        <v>93</v>
      </c>
      <c r="I354" s="7">
        <v>103700</v>
      </c>
      <c r="J354" s="5" t="s">
        <v>705</v>
      </c>
      <c r="K354" s="6">
        <v>45849</v>
      </c>
      <c r="L354" s="6">
        <v>46022</v>
      </c>
      <c r="M354" s="5" t="s">
        <v>866</v>
      </c>
    </row>
    <row r="355" spans="1:13" s="2" customFormat="1" ht="64.5" x14ac:dyDescent="0.25">
      <c r="A355" s="3">
        <v>351</v>
      </c>
      <c r="B355" s="4" t="str">
        <f>HYPERLINK("https://my.zakupivli.pro/remote/dispatcher/state_purchase_view/63594617", "UA-2025-11-19-000775-a")</f>
        <v>UA-2025-11-19-000775-a</v>
      </c>
      <c r="C355" s="5" t="s">
        <v>561</v>
      </c>
      <c r="D355" s="5" t="s">
        <v>257</v>
      </c>
      <c r="E355" s="5" t="s">
        <v>508</v>
      </c>
      <c r="F355" s="5" t="s">
        <v>659</v>
      </c>
      <c r="G355" s="5" t="s">
        <v>336</v>
      </c>
      <c r="H355" s="5" t="s">
        <v>150</v>
      </c>
      <c r="I355" s="7">
        <v>9475.92</v>
      </c>
      <c r="J355" s="5" t="s">
        <v>705</v>
      </c>
      <c r="K355" s="6">
        <v>45989</v>
      </c>
      <c r="L355" s="6">
        <v>46022</v>
      </c>
      <c r="M355" s="5" t="s">
        <v>866</v>
      </c>
    </row>
    <row r="356" spans="1:13" s="2" customFormat="1" ht="396" x14ac:dyDescent="0.25">
      <c r="A356" s="3">
        <v>352</v>
      </c>
      <c r="B356" s="4" t="str">
        <f>HYPERLINK("https://my.zakupivli.pro/remote/dispatcher/state_purchase_view/58357636", "UA-2025-03-26-005797-a")</f>
        <v>UA-2025-03-26-005797-a</v>
      </c>
      <c r="C356" s="5" t="s">
        <v>571</v>
      </c>
      <c r="D356" s="5" t="s">
        <v>258</v>
      </c>
      <c r="E356" s="5" t="s">
        <v>508</v>
      </c>
      <c r="F356" s="5" t="s">
        <v>659</v>
      </c>
      <c r="G356" s="5" t="s">
        <v>336</v>
      </c>
      <c r="H356" s="5" t="s">
        <v>430</v>
      </c>
      <c r="I356" s="7">
        <v>49588.639999999999</v>
      </c>
      <c r="J356" s="5" t="s">
        <v>705</v>
      </c>
      <c r="K356" s="6">
        <v>45750</v>
      </c>
      <c r="L356" s="6">
        <v>46022</v>
      </c>
      <c r="M356" s="5" t="s">
        <v>866</v>
      </c>
    </row>
    <row r="357" spans="1:13" s="2" customFormat="1" ht="39" x14ac:dyDescent="0.25">
      <c r="A357" s="3">
        <v>353</v>
      </c>
      <c r="B357" s="4" t="str">
        <f>HYPERLINK("https://my.zakupivli.pro/remote/dispatcher/state_purchase_view/65029562", "UA-2025-12-30-006803-a")</f>
        <v>UA-2025-12-30-006803-a</v>
      </c>
      <c r="C357" s="5" t="s">
        <v>538</v>
      </c>
      <c r="D357" s="5" t="s">
        <v>98</v>
      </c>
      <c r="E357" s="5" t="s">
        <v>506</v>
      </c>
      <c r="F357" s="5" t="s">
        <v>564</v>
      </c>
      <c r="G357" s="5" t="s">
        <v>231</v>
      </c>
      <c r="H357" s="5" t="s">
        <v>183</v>
      </c>
      <c r="I357" s="3">
        <v>4500</v>
      </c>
      <c r="J357" s="5" t="s">
        <v>598</v>
      </c>
      <c r="K357" s="6">
        <v>46021</v>
      </c>
      <c r="L357" s="6">
        <v>46022</v>
      </c>
      <c r="M357" s="5" t="s">
        <v>866</v>
      </c>
    </row>
    <row r="358" spans="1:13" s="2" customFormat="1" ht="64.5" x14ac:dyDescent="0.25">
      <c r="A358" s="3">
        <v>354</v>
      </c>
      <c r="B358" s="4" t="str">
        <f>HYPERLINK("https://my.zakupivli.pro/remote/dispatcher/state_purchase_view/65027419", "UA-2025-12-30-005841-a")</f>
        <v>UA-2025-12-30-005841-a</v>
      </c>
      <c r="C358" s="5" t="s">
        <v>749</v>
      </c>
      <c r="D358" s="5" t="s">
        <v>306</v>
      </c>
      <c r="E358" s="5" t="s">
        <v>506</v>
      </c>
      <c r="F358" s="5" t="s">
        <v>576</v>
      </c>
      <c r="G358" s="5" t="s">
        <v>250</v>
      </c>
      <c r="H358" s="5" t="s">
        <v>239</v>
      </c>
      <c r="I358" s="3">
        <v>176</v>
      </c>
      <c r="J358" s="5" t="s">
        <v>598</v>
      </c>
      <c r="K358" s="6">
        <v>46021</v>
      </c>
      <c r="L358" s="6">
        <v>46022</v>
      </c>
      <c r="M358" s="5" t="s">
        <v>866</v>
      </c>
    </row>
    <row r="359" spans="1:13" s="2" customFormat="1" ht="51.75" x14ac:dyDescent="0.25">
      <c r="A359" s="3">
        <v>355</v>
      </c>
      <c r="B359" s="4" t="str">
        <f>HYPERLINK("https://my.zakupivli.pro/remote/dispatcher/state_purchase_view/57050973", "UA-2025-01-30-003009-a")</f>
        <v>UA-2025-01-30-003009-a</v>
      </c>
      <c r="C359" s="5" t="s">
        <v>567</v>
      </c>
      <c r="D359" s="5" t="s">
        <v>371</v>
      </c>
      <c r="E359" s="5" t="s">
        <v>506</v>
      </c>
      <c r="F359" s="5" t="s">
        <v>694</v>
      </c>
      <c r="G359" s="5" t="s">
        <v>311</v>
      </c>
      <c r="H359" s="5" t="s">
        <v>5</v>
      </c>
      <c r="I359" s="3">
        <v>22440</v>
      </c>
      <c r="J359" s="5" t="s">
        <v>705</v>
      </c>
      <c r="K359" s="6">
        <v>45687</v>
      </c>
      <c r="L359" s="6">
        <v>45992</v>
      </c>
      <c r="M359" s="5" t="s">
        <v>866</v>
      </c>
    </row>
    <row r="360" spans="1:13" s="2" customFormat="1" ht="115.5" x14ac:dyDescent="0.25">
      <c r="A360" s="3">
        <v>356</v>
      </c>
      <c r="B360" s="4" t="str">
        <f>HYPERLINK("https://my.zakupivli.pro/remote/dispatcher/state_purchase_view/56237566", "UA-2024-12-27-004833-a")</f>
        <v>UA-2024-12-27-004833-a</v>
      </c>
      <c r="C360" s="5" t="s">
        <v>530</v>
      </c>
      <c r="D360" s="5" t="s">
        <v>13</v>
      </c>
      <c r="E360" s="5" t="s">
        <v>508</v>
      </c>
      <c r="F360" s="5" t="s">
        <v>2</v>
      </c>
      <c r="G360" s="5" t="s">
        <v>364</v>
      </c>
      <c r="H360" s="5" t="s">
        <v>39</v>
      </c>
      <c r="I360" s="7">
        <v>223500</v>
      </c>
      <c r="J360" s="5" t="s">
        <v>705</v>
      </c>
      <c r="K360" s="6">
        <v>45663</v>
      </c>
      <c r="L360" s="6">
        <v>45777</v>
      </c>
      <c r="M360" s="5" t="s">
        <v>866</v>
      </c>
    </row>
  </sheetData>
  <autoFilter ref="A4:M360"/>
  <mergeCells count="1">
    <mergeCell ref="A1:M3"/>
  </mergeCells>
  <hyperlinks>
    <hyperlink ref="B5" r:id="rId1" display="https://my.zakupivli.pro/remote/dispatcher/state_purchase_view/56649988"/>
    <hyperlink ref="B6" r:id="rId2" display="https://my.zakupivli.pro/remote/dispatcher/state_purchase_view/58932078"/>
    <hyperlink ref="B7" r:id="rId3" display="https://my.zakupivli.pro/remote/dispatcher/state_purchase_view/58413982"/>
    <hyperlink ref="B8" r:id="rId4" display="https://my.zakupivli.pro/remote/dispatcher/state_purchase_view/58130935"/>
    <hyperlink ref="B9" r:id="rId5" display="https://my.zakupivli.pro/remote/dispatcher/state_purchase_view/57026663"/>
    <hyperlink ref="B10" r:id="rId6" display="https://my.zakupivli.pro/remote/dispatcher/state_purchase_view/57014350"/>
    <hyperlink ref="B11" r:id="rId7" display="https://my.zakupivli.pro/remote/dispatcher/state_purchase_view/56973812"/>
    <hyperlink ref="B12" r:id="rId8" display="https://my.zakupivli.pro/remote/dispatcher/state_purchase_view/58188776"/>
    <hyperlink ref="B13" r:id="rId9" display="https://my.zakupivli.pro/remote/dispatcher/state_purchase_view/58464032"/>
    <hyperlink ref="B14" r:id="rId10" display="https://my.zakupivli.pro/remote/dispatcher/state_purchase_view/56877822"/>
    <hyperlink ref="B15" r:id="rId11" display="https://my.zakupivli.pro/remote/dispatcher/state_purchase_view/60023998"/>
    <hyperlink ref="B16" r:id="rId12" display="https://my.zakupivli.pro/remote/dispatcher/state_purchase_view/60032648"/>
    <hyperlink ref="B17" r:id="rId13" display="https://my.zakupivli.pro/remote/dispatcher/state_purchase_view/59443200"/>
    <hyperlink ref="B18" r:id="rId14" display="https://my.zakupivli.pro/remote/dispatcher/state_purchase_view/59777825"/>
    <hyperlink ref="B19" r:id="rId15" display="https://my.zakupivli.pro/remote/dispatcher/state_purchase_view/63950112"/>
    <hyperlink ref="B20" r:id="rId16" display="https://my.zakupivli.pro/remote/dispatcher/state_purchase_view/64257096"/>
    <hyperlink ref="B21" r:id="rId17" display="https://my.zakupivli.pro/remote/dispatcher/state_purchase_view/64301501"/>
    <hyperlink ref="B22" r:id="rId18" display="https://my.zakupivli.pro/remote/dispatcher/state_purchase_view/59639663"/>
    <hyperlink ref="B23" r:id="rId19" display="https://my.zakupivli.pro/remote/dispatcher/state_purchase_view/60086450"/>
    <hyperlink ref="B24" r:id="rId20" display="https://my.zakupivli.pro/remote/dispatcher/state_purchase_view/60837434"/>
    <hyperlink ref="B25" r:id="rId21" display="https://my.zakupivli.pro/remote/dispatcher/state_purchase_view/60872531"/>
    <hyperlink ref="B26" r:id="rId22" display="https://my.zakupivli.pro/remote/dispatcher/state_purchase_view/60874108"/>
    <hyperlink ref="B27" r:id="rId23" display="https://my.zakupivli.pro/remote/dispatcher/state_purchase_view/60874974"/>
    <hyperlink ref="B28" r:id="rId24" display="https://my.zakupivli.pro/remote/dispatcher/state_purchase_view/61229657"/>
    <hyperlink ref="B29" r:id="rId25" display="https://my.zakupivli.pro/remote/dispatcher/state_purchase_view/63600915"/>
    <hyperlink ref="B30" r:id="rId26" display="https://my.zakupivli.pro/remote/dispatcher/state_purchase_view/63599414"/>
    <hyperlink ref="B31" r:id="rId27" display="https://my.zakupivli.pro/remote/dispatcher/state_purchase_view/60441232"/>
    <hyperlink ref="B32" r:id="rId28" display="https://my.zakupivli.pro/remote/dispatcher/state_purchase_view/58564129"/>
    <hyperlink ref="B33" r:id="rId29" display="https://my.zakupivli.pro/remote/dispatcher/state_purchase_view/56113444"/>
    <hyperlink ref="B34" r:id="rId30" display="https://my.zakupivli.pro/remote/dispatcher/state_purchase_view/57825385"/>
    <hyperlink ref="B35" r:id="rId31" display="https://my.zakupivli.pro/remote/dispatcher/state_purchase_view/59578716"/>
    <hyperlink ref="B36" r:id="rId32" display="https://my.zakupivli.pro/remote/dispatcher/state_purchase_view/59864650"/>
    <hyperlink ref="B37" r:id="rId33" display="https://my.zakupivli.pro/remote/dispatcher/state_purchase_view/61910763"/>
    <hyperlink ref="B38" r:id="rId34" display="https://my.zakupivli.pro/remote/dispatcher/state_purchase_view/62303100"/>
    <hyperlink ref="B39" r:id="rId35" display="https://my.zakupivli.pro/remote/dispatcher/state_purchase_view/62305904"/>
    <hyperlink ref="B40" r:id="rId36" display="https://my.zakupivli.pro/remote/dispatcher/state_purchase_view/62611051"/>
    <hyperlink ref="B41" r:id="rId37" display="https://my.zakupivli.pro/remote/dispatcher/state_purchase_view/59468749"/>
    <hyperlink ref="B42" r:id="rId38" display="https://my.zakupivli.pro/remote/dispatcher/state_purchase_view/58430657"/>
    <hyperlink ref="B43" r:id="rId39" display="https://my.zakupivli.pro/remote/dispatcher/state_purchase_view/65029672"/>
    <hyperlink ref="B44" r:id="rId40" display="https://my.zakupivli.pro/remote/dispatcher/state_purchase_view/65029102"/>
    <hyperlink ref="B45" r:id="rId41" display="https://my.zakupivli.pro/remote/dispatcher/state_purchase_view/56939241"/>
    <hyperlink ref="B46" r:id="rId42" display="https://my.zakupivli.pro/remote/dispatcher/state_purchase_view/58983892"/>
    <hyperlink ref="B47" r:id="rId43" display="https://my.zakupivli.pro/remote/dispatcher/state_purchase_view/58960399"/>
    <hyperlink ref="B48" r:id="rId44" display="https://my.zakupivli.pro/remote/dispatcher/state_purchase_view/59340791"/>
    <hyperlink ref="B49" r:id="rId45" display="https://my.zakupivli.pro/remote/dispatcher/state_purchase_view/58588924"/>
    <hyperlink ref="B50" r:id="rId46" display="https://my.zakupivli.pro/remote/dispatcher/state_purchase_view/58328334"/>
    <hyperlink ref="B51" r:id="rId47" display="https://my.zakupivli.pro/remote/dispatcher/state_purchase_view/58412637"/>
    <hyperlink ref="B52" r:id="rId48" display="https://my.zakupivli.pro/remote/dispatcher/state_purchase_view/58188133"/>
    <hyperlink ref="B53" r:id="rId49" display="https://my.zakupivli.pro/remote/dispatcher/state_purchase_view/58908603"/>
    <hyperlink ref="B54" r:id="rId50" display="https://my.zakupivli.pro/remote/dispatcher/state_purchase_view/60329990"/>
    <hyperlink ref="B55" r:id="rId51" display="https://my.zakupivli.pro/remote/dispatcher/state_purchase_view/60329540"/>
    <hyperlink ref="B56" r:id="rId52" display="https://my.zakupivli.pro/remote/dispatcher/state_purchase_view/60330873"/>
    <hyperlink ref="B57" r:id="rId53" display="https://my.zakupivli.pro/remote/dispatcher/state_purchase_view/60340943"/>
    <hyperlink ref="B58" r:id="rId54" display="https://my.zakupivli.pro/remote/dispatcher/state_purchase_view/60341472"/>
    <hyperlink ref="B59" r:id="rId55" display="https://my.zakupivli.pro/remote/dispatcher/state_purchase_view/56922156"/>
    <hyperlink ref="B60" r:id="rId56" display="https://my.zakupivli.pro/remote/dispatcher/state_purchase_view/56572186"/>
    <hyperlink ref="B61" r:id="rId57" display="https://my.zakupivli.pro/remote/dispatcher/state_purchase_view/56605823"/>
    <hyperlink ref="B62" r:id="rId58" display="https://my.zakupivli.pro/remote/dispatcher/state_purchase_view/57785788"/>
    <hyperlink ref="B63" r:id="rId59" display="https://my.zakupivli.pro/remote/dispatcher/state_purchase_view/57048894"/>
    <hyperlink ref="B64" r:id="rId60" display="https://my.zakupivli.pro/remote/dispatcher/state_purchase_view/57026260"/>
    <hyperlink ref="B65" r:id="rId61" display="https://my.zakupivli.pro/remote/dispatcher/state_purchase_view/63516282"/>
    <hyperlink ref="B66" r:id="rId62" display="https://my.zakupivli.pro/remote/dispatcher/state_purchase_view/60740612"/>
    <hyperlink ref="B67" r:id="rId63" display="https://my.zakupivli.pro/remote/dispatcher/state_purchase_view/60409680"/>
    <hyperlink ref="B68" r:id="rId64" display="https://my.zakupivli.pro/remote/dispatcher/state_purchase_view/60872350"/>
    <hyperlink ref="B69" r:id="rId65" display="https://my.zakupivli.pro/remote/dispatcher/state_purchase_view/58128002"/>
    <hyperlink ref="B70" r:id="rId66" display="https://my.zakupivli.pro/remote/dispatcher/state_purchase_view/58129619"/>
    <hyperlink ref="B71" r:id="rId67" display="https://my.zakupivli.pro/remote/dispatcher/state_purchase_view/58292795"/>
    <hyperlink ref="B72" r:id="rId68" display="https://my.zakupivli.pro/remote/dispatcher/state_purchase_view/57806643"/>
    <hyperlink ref="B73" r:id="rId69" display="https://my.zakupivli.pro/remote/dispatcher/state_purchase_view/59442872"/>
    <hyperlink ref="B74" r:id="rId70" display="https://my.zakupivli.pro/remote/dispatcher/state_purchase_view/59443815"/>
    <hyperlink ref="B75" r:id="rId71" display="https://my.zakupivli.pro/remote/dispatcher/state_purchase_view/62287515"/>
    <hyperlink ref="B76" r:id="rId72" display="https://my.zakupivli.pro/remote/dispatcher/state_purchase_view/62300246"/>
    <hyperlink ref="B77" r:id="rId73" display="https://my.zakupivli.pro/remote/dispatcher/state_purchase_view/62299797"/>
    <hyperlink ref="B78" r:id="rId74" display="https://my.zakupivli.pro/remote/dispatcher/state_purchase_view/62300524"/>
    <hyperlink ref="B79" r:id="rId75" display="https://my.zakupivli.pro/remote/dispatcher/state_purchase_view/62648673"/>
    <hyperlink ref="B80" r:id="rId76" display="https://my.zakupivli.pro/remote/dispatcher/state_purchase_view/61228385"/>
    <hyperlink ref="B81" r:id="rId77" display="https://my.zakupivli.pro/remote/dispatcher/state_purchase_view/61226386"/>
    <hyperlink ref="B82" r:id="rId78" display="https://my.zakupivli.pro/remote/dispatcher/state_purchase_view/61213722"/>
    <hyperlink ref="B83" r:id="rId79" display="https://my.zakupivli.pro/remote/dispatcher/state_purchase_view/62821996"/>
    <hyperlink ref="B84" r:id="rId80" display="https://my.zakupivli.pro/remote/dispatcher/state_purchase_view/62822645"/>
    <hyperlink ref="B85" r:id="rId81" display="https://my.zakupivli.pro/remote/dispatcher/state_purchase_view/63598194"/>
    <hyperlink ref="B86" r:id="rId82" display="https://my.zakupivli.pro/remote/dispatcher/state_purchase_view/63949461"/>
    <hyperlink ref="B87" r:id="rId83" display="https://my.zakupivli.pro/remote/dispatcher/state_purchase_view/58463653"/>
    <hyperlink ref="B88" r:id="rId84" display="https://my.zakupivli.pro/remote/dispatcher/state_purchase_view/57843555"/>
    <hyperlink ref="B89" r:id="rId85" display="https://my.zakupivli.pro/remote/dispatcher/state_purchase_view/56892131"/>
    <hyperlink ref="B90" r:id="rId86" display="https://my.zakupivli.pro/remote/dispatcher/state_purchase_view/56713097"/>
    <hyperlink ref="B91" r:id="rId87" display="https://my.zakupivli.pro/remote/dispatcher/state_purchase_view/63091940"/>
    <hyperlink ref="B92" r:id="rId88" display="https://my.zakupivli.pro/remote/dispatcher/state_purchase_view/63091136"/>
    <hyperlink ref="B93" r:id="rId89" display="https://my.zakupivli.pro/remote/dispatcher/state_purchase_view/60389814"/>
    <hyperlink ref="B94" r:id="rId90" display="https://my.zakupivli.pro/remote/dispatcher/state_purchase_view/59054197"/>
    <hyperlink ref="B95" r:id="rId91" display="https://my.zakupivli.pro/remote/dispatcher/state_purchase_view/65028983"/>
    <hyperlink ref="B96" r:id="rId92" display="https://my.zakupivli.pro/remote/dispatcher/state_purchase_view/65026587"/>
    <hyperlink ref="B97" r:id="rId93" display="https://my.zakupivli.pro/remote/dispatcher/state_purchase_view/58580490"/>
    <hyperlink ref="B98" r:id="rId94" display="https://my.zakupivli.pro/remote/dispatcher/state_purchase_view/59901818"/>
    <hyperlink ref="B99" r:id="rId95" display="https://my.zakupivli.pro/remote/dispatcher/state_purchase_view/60085389"/>
    <hyperlink ref="B100" r:id="rId96" display="https://my.zakupivli.pro/remote/dispatcher/state_purchase_view/57016181"/>
    <hyperlink ref="B101" r:id="rId97" display="https://my.zakupivli.pro/remote/dispatcher/state_purchase_view/57166520"/>
    <hyperlink ref="B102" r:id="rId98" display="https://my.zakupivli.pro/remote/dispatcher/state_purchase_view/56939727"/>
    <hyperlink ref="B103" r:id="rId99" display="https://my.zakupivli.pro/remote/dispatcher/state_purchase_view/56312618"/>
    <hyperlink ref="B104" r:id="rId100" display="https://my.zakupivli.pro/remote/dispatcher/state_purchase_view/59340414"/>
    <hyperlink ref="B105" r:id="rId101" display="https://my.zakupivli.pro/remote/dispatcher/state_purchase_view/59703867"/>
    <hyperlink ref="B106" r:id="rId102" display="https://my.zakupivli.pro/remote/dispatcher/state_purchase_view/59638722"/>
    <hyperlink ref="B107" r:id="rId103" display="https://my.zakupivli.pro/remote/dispatcher/state_purchase_view/59813151"/>
    <hyperlink ref="B108" r:id="rId104" display="https://my.zakupivli.pro/remote/dispatcher/state_purchase_view/60331682"/>
    <hyperlink ref="B109" r:id="rId105" display="https://my.zakupivli.pro/remote/dispatcher/state_purchase_view/60409501"/>
    <hyperlink ref="B110" r:id="rId106" display="https://my.zakupivli.pro/remote/dispatcher/state_purchase_view/56646621"/>
    <hyperlink ref="B111" r:id="rId107" display="https://my.zakupivli.pro/remote/dispatcher/state_purchase_view/58293492"/>
    <hyperlink ref="B112" r:id="rId108" display="https://my.zakupivli.pro/remote/dispatcher/state_purchase_view/58164770"/>
    <hyperlink ref="B113" r:id="rId109" display="https://my.zakupivli.pro/remote/dispatcher/state_purchase_view/58123196"/>
    <hyperlink ref="B114" r:id="rId110" display="https://my.zakupivli.pro/remote/dispatcher/state_purchase_view/61224736"/>
    <hyperlink ref="B115" r:id="rId111" display="https://my.zakupivli.pro/remote/dispatcher/state_purchase_view/60749161"/>
    <hyperlink ref="B116" r:id="rId112" display="https://my.zakupivli.pro/remote/dispatcher/state_purchase_view/58417123"/>
    <hyperlink ref="B117" r:id="rId113" display="https://my.zakupivli.pro/remote/dispatcher/state_purchase_view/63762638"/>
    <hyperlink ref="B118" r:id="rId114" display="https://my.zakupivli.pro/remote/dispatcher/state_purchase_view/59972980"/>
    <hyperlink ref="B119" r:id="rId115" display="https://my.zakupivli.pro/remote/dispatcher/state_purchase_view/58418644"/>
    <hyperlink ref="B120" r:id="rId116" display="https://my.zakupivli.pro/remote/dispatcher/state_purchase_view/63516700"/>
    <hyperlink ref="B121" r:id="rId117" display="https://my.zakupivli.pro/remote/dispatcher/state_purchase_view/63597265"/>
    <hyperlink ref="B122" r:id="rId118" display="https://my.zakupivli.pro/remote/dispatcher/state_purchase_view/63570316"/>
    <hyperlink ref="B123" r:id="rId119" display="https://my.zakupivli.pro/remote/dispatcher/state_purchase_view/64762580"/>
    <hyperlink ref="B124" r:id="rId120" display="https://my.zakupivli.pro/remote/dispatcher/state_purchase_view/64888974"/>
    <hyperlink ref="B125" r:id="rId121" display="https://my.zakupivli.pro/remote/dispatcher/state_purchase_view/62647265"/>
    <hyperlink ref="B126" r:id="rId122" display="https://my.zakupivli.pro/remote/dispatcher/state_purchase_view/62648210"/>
    <hyperlink ref="B127" r:id="rId123" display="https://my.zakupivli.pro/remote/dispatcher/state_purchase_view/61910956"/>
    <hyperlink ref="B128" r:id="rId124" display="https://my.zakupivli.pro/remote/dispatcher/state_purchase_view/58035975"/>
    <hyperlink ref="B129" r:id="rId125" display="https://my.zakupivli.pro/remote/dispatcher/state_purchase_view/56942191"/>
    <hyperlink ref="B130" r:id="rId126" display="https://my.zakupivli.pro/remote/dispatcher/state_purchase_view/57908352"/>
    <hyperlink ref="B131" r:id="rId127" display="https://my.zakupivli.pro/remote/dispatcher/state_purchase_view/57908846"/>
    <hyperlink ref="B132" r:id="rId128" display="https://my.zakupivli.pro/remote/dispatcher/state_purchase_view/58596230"/>
    <hyperlink ref="B133" r:id="rId129" display="https://my.zakupivli.pro/remote/dispatcher/state_purchase_view/59440870"/>
    <hyperlink ref="B134" r:id="rId130" display="https://my.zakupivli.pro/remote/dispatcher/state_purchase_view/59441451"/>
    <hyperlink ref="B135" r:id="rId131" display="https://my.zakupivli.pro/remote/dispatcher/state_purchase_view/58410439"/>
    <hyperlink ref="B136" r:id="rId132" display="https://my.zakupivli.pro/remote/dispatcher/state_purchase_view/58126828"/>
    <hyperlink ref="B137" r:id="rId133" display="https://my.zakupivli.pro/remote/dispatcher/state_purchase_view/58129748"/>
    <hyperlink ref="B138" r:id="rId134" display="https://my.zakupivli.pro/remote/dispatcher/state_purchase_view/58416428"/>
    <hyperlink ref="B139" r:id="rId135" display="https://my.zakupivli.pro/remote/dispatcher/state_purchase_view/58982652"/>
    <hyperlink ref="B140" r:id="rId136" display="https://my.zakupivli.pro/remote/dispatcher/state_purchase_view/59305190"/>
    <hyperlink ref="B141" r:id="rId137" display="https://my.zakupivli.pro/remote/dispatcher/state_purchase_view/56940450"/>
    <hyperlink ref="B142" r:id="rId138" display="https://my.zakupivli.pro/remote/dispatcher/state_purchase_view/57317206"/>
    <hyperlink ref="B143" r:id="rId139" display="https://my.zakupivli.pro/remote/dispatcher/state_purchase_view/58334799"/>
    <hyperlink ref="B144" r:id="rId140" display="https://my.zakupivli.pro/remote/dispatcher/state_purchase_view/58187305"/>
    <hyperlink ref="B145" r:id="rId141" display="https://my.zakupivli.pro/remote/dispatcher/state_purchase_view/58221934"/>
    <hyperlink ref="B146" r:id="rId142" display="https://my.zakupivli.pro/remote/dispatcher/state_purchase_view/58909587"/>
    <hyperlink ref="B147" r:id="rId143" display="https://my.zakupivli.pro/remote/dispatcher/state_purchase_view/58580081"/>
    <hyperlink ref="B148" r:id="rId144" display="https://my.zakupivli.pro/remote/dispatcher/state_purchase_view/58588241"/>
    <hyperlink ref="B149" r:id="rId145" display="https://my.zakupivli.pro/remote/dispatcher/state_purchase_view/60023346"/>
    <hyperlink ref="B150" r:id="rId146" display="https://my.zakupivli.pro/remote/dispatcher/state_purchase_view/60023855"/>
    <hyperlink ref="B151" r:id="rId147" display="https://my.zakupivli.pro/remote/dispatcher/state_purchase_view/56657939"/>
    <hyperlink ref="B152" r:id="rId148" display="https://my.zakupivli.pro/remote/dispatcher/state_purchase_view/56836332"/>
    <hyperlink ref="B153" r:id="rId149" display="https://my.zakupivli.pro/remote/dispatcher/state_purchase_view/60970204"/>
    <hyperlink ref="B154" r:id="rId150" display="https://my.zakupivli.pro/remote/dispatcher/state_purchase_view/60972093"/>
    <hyperlink ref="B155" r:id="rId151" display="https://my.zakupivli.pro/remote/dispatcher/state_purchase_view/60332009"/>
    <hyperlink ref="B156" r:id="rId152" display="https://my.zakupivli.pro/remote/dispatcher/state_purchase_view/60328677"/>
    <hyperlink ref="B157" r:id="rId153" display="https://my.zakupivli.pro/remote/dispatcher/state_purchase_view/60329222"/>
    <hyperlink ref="B158" r:id="rId154" display="https://my.zakupivli.pro/remote/dispatcher/state_purchase_view/60331023"/>
    <hyperlink ref="B159" r:id="rId155" display="https://my.zakupivli.pro/remote/dispatcher/state_purchase_view/60342139"/>
    <hyperlink ref="B160" r:id="rId156" display="https://my.zakupivli.pro/remote/dispatcher/state_purchase_view/60828249"/>
    <hyperlink ref="B161" r:id="rId157" display="https://my.zakupivli.pro/remote/dispatcher/state_purchase_view/60874743"/>
    <hyperlink ref="B162" r:id="rId158" display="https://my.zakupivli.pro/remote/dispatcher/state_purchase_view/60814673"/>
    <hyperlink ref="B163" r:id="rId159" display="https://my.zakupivli.pro/remote/dispatcher/state_purchase_view/60800698"/>
    <hyperlink ref="B164" r:id="rId160" display="https://my.zakupivli.pro/remote/dispatcher/state_purchase_view/63137816"/>
    <hyperlink ref="B165" r:id="rId161" display="https://my.zakupivli.pro/remote/dispatcher/state_purchase_view/62301036"/>
    <hyperlink ref="B166" r:id="rId162" display="https://my.zakupivli.pro/remote/dispatcher/state_purchase_view/64262594"/>
    <hyperlink ref="B167" r:id="rId163" display="https://my.zakupivli.pro/remote/dispatcher/state_purchase_view/62369421"/>
    <hyperlink ref="B168" r:id="rId164" display="https://my.zakupivli.pro/remote/dispatcher/state_purchase_view/64300748"/>
    <hyperlink ref="B169" r:id="rId165" display="https://my.zakupivli.pro/remote/dispatcher/state_purchase_view/64885444"/>
    <hyperlink ref="B170" r:id="rId166" display="https://my.zakupivli.pro/remote/dispatcher/state_purchase_view/65029361"/>
    <hyperlink ref="B171" r:id="rId167" display="https://my.zakupivli.pro/remote/dispatcher/state_purchase_view/65028889"/>
    <hyperlink ref="B172" r:id="rId168" display="https://my.zakupivli.pro/remote/dispatcher/state_purchase_view/65025345"/>
    <hyperlink ref="B173" r:id="rId169" display="https://my.zakupivli.pro/remote/dispatcher/state_purchase_view/63600525"/>
    <hyperlink ref="B174" r:id="rId170" display="https://my.zakupivli.pro/remote/dispatcher/state_purchase_view/63515577"/>
    <hyperlink ref="B175" r:id="rId171" display="https://my.zakupivli.pro/remote/dispatcher/state_purchase_view/58155484"/>
    <hyperlink ref="B176" r:id="rId172" display="https://my.zakupivli.pro/remote/dispatcher/state_purchase_view/64189075"/>
    <hyperlink ref="B177" r:id="rId173" display="https://my.zakupivli.pro/remote/dispatcher/state_purchase_view/60718855"/>
    <hyperlink ref="B178" r:id="rId174" display="https://my.zakupivli.pro/remote/dispatcher/state_purchase_view/56334184"/>
    <hyperlink ref="B179" r:id="rId175" display="https://my.zakupivli.pro/remote/dispatcher/state_purchase_view/56311015"/>
    <hyperlink ref="B180" r:id="rId176" display="https://my.zakupivli.pro/remote/dispatcher/state_purchase_view/58587969"/>
    <hyperlink ref="B181" r:id="rId177" display="https://my.zakupivli.pro/remote/dispatcher/state_purchase_view/58537095"/>
    <hyperlink ref="B182" r:id="rId178" display="https://my.zakupivli.pro/remote/dispatcher/state_purchase_view/58865827"/>
    <hyperlink ref="B183" r:id="rId179" display="https://my.zakupivli.pro/remote/dispatcher/state_purchase_view/58034609"/>
    <hyperlink ref="B184" r:id="rId180" display="https://my.zakupivli.pro/remote/dispatcher/state_purchase_view/58035309"/>
    <hyperlink ref="B185" r:id="rId181" display="https://my.zakupivli.pro/remote/dispatcher/state_purchase_view/58035563"/>
    <hyperlink ref="B186" r:id="rId182" display="https://my.zakupivli.pro/remote/dispatcher/state_purchase_view/57127831"/>
    <hyperlink ref="B187" r:id="rId183" display="https://my.zakupivli.pro/remote/dispatcher/state_purchase_view/58164877"/>
    <hyperlink ref="B188" r:id="rId184" display="https://my.zakupivli.pro/remote/dispatcher/state_purchase_view/58127610"/>
    <hyperlink ref="B189" r:id="rId185" display="https://my.zakupivli.pro/remote/dispatcher/state_purchase_view/58185581"/>
    <hyperlink ref="B190" r:id="rId186" display="https://my.zakupivli.pro/remote/dispatcher/state_purchase_view/57446358"/>
    <hyperlink ref="B191" r:id="rId187" display="https://my.zakupivli.pro/remote/dispatcher/state_purchase_view/57017550"/>
    <hyperlink ref="B192" r:id="rId188" display="https://my.zakupivli.pro/remote/dispatcher/state_purchase_view/56919905"/>
    <hyperlink ref="B193" r:id="rId189" display="https://my.zakupivli.pro/remote/dispatcher/state_purchase_view/56975355"/>
    <hyperlink ref="B194" r:id="rId190" display="https://my.zakupivli.pro/remote/dispatcher/state_purchase_view/56839714"/>
    <hyperlink ref="B195" r:id="rId191" display="https://my.zakupivli.pro/remote/dispatcher/state_purchase_view/60827664"/>
    <hyperlink ref="B196" r:id="rId192" display="https://my.zakupivli.pro/remote/dispatcher/state_purchase_view/60872686"/>
    <hyperlink ref="B197" r:id="rId193" display="https://my.zakupivli.pro/remote/dispatcher/state_purchase_view/60391016"/>
    <hyperlink ref="B198" r:id="rId194" display="https://my.zakupivli.pro/remote/dispatcher/state_purchase_view/60411024"/>
    <hyperlink ref="B199" r:id="rId195" display="https://my.zakupivli.pro/remote/dispatcher/state_purchase_view/60744727"/>
    <hyperlink ref="B200" r:id="rId196" display="https://my.zakupivli.pro/remote/dispatcher/state_purchase_view/59639306"/>
    <hyperlink ref="B201" r:id="rId197" display="https://my.zakupivli.pro/remote/dispatcher/state_purchase_view/59640044"/>
    <hyperlink ref="B202" r:id="rId198" display="https://my.zakupivli.pro/remote/dispatcher/state_purchase_view/59129304"/>
    <hyperlink ref="B203" r:id="rId199" display="https://my.zakupivli.pro/remote/dispatcher/state_purchase_view/57011226"/>
    <hyperlink ref="B204" r:id="rId200" display="https://my.zakupivli.pro/remote/dispatcher/state_purchase_view/59441711"/>
    <hyperlink ref="B205" r:id="rId201" display="https://my.zakupivli.pro/remote/dispatcher/state_purchase_view/60086846"/>
    <hyperlink ref="B206" r:id="rId202" display="https://my.zakupivli.pro/remote/dispatcher/state_purchase_view/60969875"/>
    <hyperlink ref="B207" r:id="rId203" display="https://my.zakupivli.pro/remote/dispatcher/state_purchase_view/61215036"/>
    <hyperlink ref="B208" r:id="rId204" display="https://my.zakupivli.pro/remote/dispatcher/state_purchase_view/64256248"/>
    <hyperlink ref="B209" r:id="rId205" display="https://my.zakupivli.pro/remote/dispatcher/state_purchase_view/63599691"/>
    <hyperlink ref="B210" r:id="rId206" display="https://my.zakupivli.pro/remote/dispatcher/state_purchase_view/64298125"/>
    <hyperlink ref="B211" r:id="rId207" display="https://my.zakupivli.pro/remote/dispatcher/state_purchase_view/64299725"/>
    <hyperlink ref="B212" r:id="rId208" display="https://my.zakupivli.pro/remote/dispatcher/state_purchase_view/59898769"/>
    <hyperlink ref="B213" r:id="rId209" display="https://my.zakupivli.pro/remote/dispatcher/state_purchase_view/59898967"/>
    <hyperlink ref="B214" r:id="rId210" display="https://my.zakupivli.pro/remote/dispatcher/state_purchase_view/62594414"/>
    <hyperlink ref="B215" r:id="rId211" display="https://my.zakupivli.pro/remote/dispatcher/state_purchase_view/65028685"/>
    <hyperlink ref="B216" r:id="rId212" display="https://my.zakupivli.pro/remote/dispatcher/state_purchase_view/57541742"/>
    <hyperlink ref="B217" r:id="rId213" display="https://my.zakupivli.pro/remote/dispatcher/state_purchase_view/57669508"/>
    <hyperlink ref="B218" r:id="rId214" display="https://my.zakupivli.pro/remote/dispatcher/state_purchase_view/58412325"/>
    <hyperlink ref="B219" r:id="rId215" display="https://my.zakupivli.pro/remote/dispatcher/state_purchase_view/58324756"/>
    <hyperlink ref="B220" r:id="rId216" display="https://my.zakupivli.pro/remote/dispatcher/state_purchase_view/56599715"/>
    <hyperlink ref="B221" r:id="rId217" display="https://my.zakupivli.pro/remote/dispatcher/state_purchase_view/56941297"/>
    <hyperlink ref="B222" r:id="rId218" display="https://my.zakupivli.pro/remote/dispatcher/state_purchase_view/56974514"/>
    <hyperlink ref="B223" r:id="rId219" display="https://my.zakupivli.pro/remote/dispatcher/state_purchase_view/56312946"/>
    <hyperlink ref="B224" r:id="rId220" display="https://my.zakupivli.pro/remote/dispatcher/state_purchase_view/58129395"/>
    <hyperlink ref="B225" r:id="rId221" display="https://my.zakupivli.pro/remote/dispatcher/state_purchase_view/58130017"/>
    <hyperlink ref="B226" r:id="rId222" display="https://my.zakupivli.pro/remote/dispatcher/state_purchase_view/58130126"/>
    <hyperlink ref="B227" r:id="rId223" display="https://my.zakupivli.pro/remote/dispatcher/state_purchase_view/58189418"/>
    <hyperlink ref="B228" r:id="rId224" display="https://my.zakupivli.pro/remote/dispatcher/state_purchase_view/62647754"/>
    <hyperlink ref="B229" r:id="rId225" display="https://my.zakupivli.pro/remote/dispatcher/state_purchase_view/62647994"/>
    <hyperlink ref="B230" r:id="rId226" display="https://my.zakupivli.pro/remote/dispatcher/state_purchase_view/62303346"/>
    <hyperlink ref="B231" r:id="rId227" display="https://my.zakupivli.pro/remote/dispatcher/state_purchase_view/60827393"/>
    <hyperlink ref="B232" r:id="rId228" display="https://my.zakupivli.pro/remote/dispatcher/state_purchase_view/60827858"/>
    <hyperlink ref="B233" r:id="rId229" display="https://my.zakupivli.pro/remote/dispatcher/state_purchase_view/60828402"/>
    <hyperlink ref="B234" r:id="rId230" display="https://my.zakupivli.pro/remote/dispatcher/state_purchase_view/56754752"/>
    <hyperlink ref="B235" r:id="rId231" display="https://my.zakupivli.pro/remote/dispatcher/state_purchase_view/56525463"/>
    <hyperlink ref="B236" r:id="rId232" display="https://my.zakupivli.pro/remote/dispatcher/state_purchase_view/58409474"/>
    <hyperlink ref="B237" r:id="rId233" display="https://my.zakupivli.pro/remote/dispatcher/state_purchase_view/64298742"/>
    <hyperlink ref="B238" r:id="rId234" display="https://my.zakupivli.pro/remote/dispatcher/state_purchase_view/64299327"/>
    <hyperlink ref="B239" r:id="rId235" display="https://my.zakupivli.pro/remote/dispatcher/state_purchase_view/64865856"/>
    <hyperlink ref="B240" r:id="rId236" display="https://my.zakupivli.pro/remote/dispatcher/state_purchase_view/60031940"/>
    <hyperlink ref="B241" r:id="rId237" display="https://my.zakupivli.pro/remote/dispatcher/state_purchase_view/60332167"/>
    <hyperlink ref="B242" r:id="rId238" display="https://my.zakupivli.pro/remote/dispatcher/state_purchase_view/60328547"/>
    <hyperlink ref="B243" r:id="rId239" display="https://my.zakupivli.pro/remote/dispatcher/state_purchase_view/60332705"/>
    <hyperlink ref="B244" r:id="rId240" display="https://my.zakupivli.pro/remote/dispatcher/state_purchase_view/60341104"/>
    <hyperlink ref="B245" r:id="rId241" display="https://my.zakupivli.pro/remote/dispatcher/state_purchase_view/60115991"/>
    <hyperlink ref="B246" r:id="rId242" display="https://my.zakupivli.pro/remote/dispatcher/state_purchase_view/58866865"/>
    <hyperlink ref="B247" r:id="rId243" display="https://my.zakupivli.pro/remote/dispatcher/state_purchase_view/58888401"/>
    <hyperlink ref="B248" r:id="rId244" display="https://my.zakupivli.pro/remote/dispatcher/state_purchase_view/59822808"/>
    <hyperlink ref="B249" r:id="rId245" display="https://my.zakupivli.pro/remote/dispatcher/state_purchase_view/58932249"/>
    <hyperlink ref="B250" r:id="rId246" display="https://my.zakupivli.pro/remote/dispatcher/state_purchase_view/58908735"/>
    <hyperlink ref="B251" r:id="rId247" display="https://my.zakupivli.pro/remote/dispatcher/state_purchase_view/58909655"/>
    <hyperlink ref="B252" r:id="rId248" display="https://my.zakupivli.pro/remote/dispatcher/state_purchase_view/58957607"/>
    <hyperlink ref="B253" r:id="rId249" display="https://my.zakupivli.pro/remote/dispatcher/state_purchase_view/58596021"/>
    <hyperlink ref="B254" r:id="rId250" display="https://my.zakupivli.pro/remote/dispatcher/state_purchase_view/58589482"/>
    <hyperlink ref="B255" r:id="rId251" display="https://my.zakupivli.pro/remote/dispatcher/state_purchase_view/59130349"/>
    <hyperlink ref="B256" r:id="rId252" display="https://my.zakupivli.pro/remote/dispatcher/state_purchase_view/59403665"/>
    <hyperlink ref="B257" r:id="rId253" display="https://my.zakupivli.pro/remote/dispatcher/state_purchase_view/59407319"/>
    <hyperlink ref="B258" r:id="rId254" display="https://my.zakupivli.pro/remote/dispatcher/state_purchase_view/59341766"/>
    <hyperlink ref="B259" r:id="rId255" display="https://my.zakupivli.pro/remote/dispatcher/state_purchase_view/59342155"/>
    <hyperlink ref="B260" r:id="rId256" display="https://my.zakupivli.pro/remote/dispatcher/state_purchase_view/56841122"/>
    <hyperlink ref="B261" r:id="rId257" display="https://my.zakupivli.pro/remote/dispatcher/state_purchase_view/56827629"/>
    <hyperlink ref="B262" r:id="rId258" display="https://my.zakupivli.pro/remote/dispatcher/state_purchase_view/57017052"/>
    <hyperlink ref="B263" r:id="rId259" display="https://my.zakupivli.pro/remote/dispatcher/state_purchase_view/57025856"/>
    <hyperlink ref="B264" r:id="rId260" display="https://my.zakupivli.pro/remote/dispatcher/state_purchase_view/56831806"/>
    <hyperlink ref="B265" r:id="rId261" display="https://my.zakupivli.pro/remote/dispatcher/state_purchase_view/61001145"/>
    <hyperlink ref="B266" r:id="rId262" display="https://my.zakupivli.pro/remote/dispatcher/state_purchase_view/60970983"/>
    <hyperlink ref="B267" r:id="rId263" display="https://my.zakupivli.pro/remote/dispatcher/state_purchase_view/60969329"/>
    <hyperlink ref="B268" r:id="rId264" display="https://my.zakupivli.pro/remote/dispatcher/state_purchase_view/61911036"/>
    <hyperlink ref="B269" r:id="rId265" display="https://my.zakupivli.pro/remote/dispatcher/state_purchase_view/61911434"/>
    <hyperlink ref="B270" r:id="rId266" display="https://my.zakupivli.pro/remote/dispatcher/state_purchase_view/61911234"/>
    <hyperlink ref="B271" r:id="rId267" display="https://my.zakupivli.pro/remote/dispatcher/state_purchase_view/63600321"/>
    <hyperlink ref="B272" r:id="rId268" display="https://my.zakupivli.pro/remote/dispatcher/state_purchase_view/63597636"/>
    <hyperlink ref="B273" r:id="rId269" display="https://my.zakupivli.pro/remote/dispatcher/state_purchase_view/60871815"/>
    <hyperlink ref="B274" r:id="rId270" display="https://my.zakupivli.pro/remote/dispatcher/state_purchase_view/61212640"/>
    <hyperlink ref="B275" r:id="rId271" display="https://my.zakupivli.pro/remote/dispatcher/state_purchase_view/65027617"/>
    <hyperlink ref="B276" r:id="rId272" display="https://my.zakupivli.pro/remote/dispatcher/state_purchase_view/56443343"/>
    <hyperlink ref="B277" r:id="rId273" display="https://my.zakupivli.pro/remote/dispatcher/state_purchase_view/57049776"/>
    <hyperlink ref="B278" r:id="rId274" display="https://my.zakupivli.pro/remote/dispatcher/state_purchase_view/58122573"/>
    <hyperlink ref="B279" r:id="rId275" display="https://my.zakupivli.pro/remote/dispatcher/state_purchase_view/58125143"/>
    <hyperlink ref="B280" r:id="rId276" display="https://my.zakupivli.pro/remote/dispatcher/state_purchase_view/58588083"/>
    <hyperlink ref="B281" r:id="rId277" display="https://my.zakupivli.pro/remote/dispatcher/state_purchase_view/56310666"/>
    <hyperlink ref="B282" r:id="rId278" display="https://my.zakupivli.pro/remote/dispatcher/state_purchase_view/56312407"/>
    <hyperlink ref="B283" r:id="rId279" display="https://my.zakupivli.pro/remote/dispatcher/state_purchase_view/58128879"/>
    <hyperlink ref="B284" r:id="rId280" display="https://my.zakupivli.pro/remote/dispatcher/state_purchase_view/59443957"/>
    <hyperlink ref="B285" r:id="rId281" display="https://my.zakupivli.pro/remote/dispatcher/state_purchase_view/58960829"/>
    <hyperlink ref="B286" r:id="rId282" display="https://my.zakupivli.pro/remote/dispatcher/state_purchase_view/60745539"/>
    <hyperlink ref="B287" r:id="rId283" display="https://my.zakupivli.pro/remote/dispatcher/state_purchase_view/61182881"/>
    <hyperlink ref="B288" r:id="rId284" display="https://my.zakupivli.pro/remote/dispatcher/state_purchase_view/61674444"/>
    <hyperlink ref="B289" r:id="rId285" display="https://my.zakupivli.pro/remote/dispatcher/state_purchase_view/61910858"/>
    <hyperlink ref="B290" r:id="rId286" display="https://my.zakupivli.pro/remote/dispatcher/state_purchase_view/61911310"/>
    <hyperlink ref="B291" r:id="rId287" display="https://my.zakupivli.pro/remote/dispatcher/state_purchase_view/60828985"/>
    <hyperlink ref="B292" r:id="rId288" display="https://my.zakupivli.pro/remote/dispatcher/state_purchase_view/60969182"/>
    <hyperlink ref="B293" r:id="rId289" display="https://my.zakupivli.pro/remote/dispatcher/state_purchase_view/60970318"/>
    <hyperlink ref="B294" r:id="rId290" display="https://my.zakupivli.pro/remote/dispatcher/state_purchase_view/60024378"/>
    <hyperlink ref="B295" r:id="rId291" display="https://my.zakupivli.pro/remote/dispatcher/state_purchase_view/60023052"/>
    <hyperlink ref="B296" r:id="rId292" display="https://my.zakupivli.pro/remote/dispatcher/state_purchase_view/59821703"/>
    <hyperlink ref="B297" r:id="rId293" display="https://my.zakupivli.pro/remote/dispatcher/state_purchase_view/60331452"/>
    <hyperlink ref="B298" r:id="rId294" display="https://my.zakupivli.pro/remote/dispatcher/state_purchase_view/62645423"/>
    <hyperlink ref="B299" r:id="rId295" display="https://my.zakupivli.pro/remote/dispatcher/state_purchase_view/62646346"/>
    <hyperlink ref="B300" r:id="rId296" display="https://my.zakupivli.pro/remote/dispatcher/state_purchase_view/59639099"/>
    <hyperlink ref="B301" r:id="rId297" display="https://my.zakupivli.pro/remote/dispatcher/state_purchase_view/59340084"/>
    <hyperlink ref="B302" r:id="rId298" display="https://my.zakupivli.pro/remote/dispatcher/state_purchase_view/62273910"/>
    <hyperlink ref="B303" r:id="rId299" display="https://my.zakupivli.pro/remote/dispatcher/state_purchase_view/62308266"/>
    <hyperlink ref="B304" r:id="rId300" display="https://my.zakupivli.pro/remote/dispatcher/state_purchase_view/62311622"/>
    <hyperlink ref="B305" r:id="rId301" display="https://my.zakupivli.pro/remote/dispatcher/state_purchase_view/65029793"/>
    <hyperlink ref="B306" r:id="rId302" display="https://my.zakupivli.pro/remote/dispatcher/state_purchase_view/65027336"/>
    <hyperlink ref="B307" r:id="rId303" display="https://my.zakupivli.pro/remote/dispatcher/state_purchase_view/63570886"/>
    <hyperlink ref="B308" r:id="rId304" display="https://my.zakupivli.pro/remote/dispatcher/state_purchase_view/63750318"/>
    <hyperlink ref="B309" r:id="rId305" display="https://my.zakupivli.pro/remote/dispatcher/state_purchase_view/64297551"/>
    <hyperlink ref="B310" r:id="rId306" display="https://my.zakupivli.pro/remote/dispatcher/state_purchase_view/64300342"/>
    <hyperlink ref="B311" r:id="rId307" display="https://my.zakupivli.pro/remote/dispatcher/state_purchase_view/64302428"/>
    <hyperlink ref="B312" r:id="rId308" display="https://my.zakupivli.pro/remote/dispatcher/state_purchase_view/63834278"/>
    <hyperlink ref="B313" r:id="rId309" display="https://my.zakupivli.pro/remote/dispatcher/state_purchase_view/56600664"/>
    <hyperlink ref="B314" r:id="rId310" display="https://my.zakupivli.pro/remote/dispatcher/state_purchase_view/56807201"/>
    <hyperlink ref="B315" r:id="rId311" display="https://my.zakupivli.pro/remote/dispatcher/state_purchase_view/56571051"/>
    <hyperlink ref="B316" r:id="rId312" display="https://my.zakupivli.pro/remote/dispatcher/state_purchase_view/57025278"/>
    <hyperlink ref="B317" r:id="rId313" display="https://my.zakupivli.pro/remote/dispatcher/state_purchase_view/57782236"/>
    <hyperlink ref="B318" r:id="rId314" display="https://my.zakupivli.pro/remote/dispatcher/state_purchase_view/57784615"/>
    <hyperlink ref="B319" r:id="rId315" display="https://my.zakupivli.pro/remote/dispatcher/state_purchase_view/57260360"/>
    <hyperlink ref="B320" r:id="rId316" display="https://my.zakupivli.pro/remote/dispatcher/state_purchase_view/58123361"/>
    <hyperlink ref="B321" r:id="rId317" display="https://my.zakupivli.pro/remote/dispatcher/state_purchase_view/58122832"/>
    <hyperlink ref="B322" r:id="rId318" display="https://my.zakupivli.pro/remote/dispatcher/state_purchase_view/58123816"/>
    <hyperlink ref="B323" r:id="rId319" display="https://my.zakupivli.pro/remote/dispatcher/state_purchase_view/58165404"/>
    <hyperlink ref="B324" r:id="rId320" display="https://my.zakupivli.pro/remote/dispatcher/state_purchase_view/58325171"/>
    <hyperlink ref="B325" r:id="rId321" display="https://my.zakupivli.pro/remote/dispatcher/state_purchase_view/58411316"/>
    <hyperlink ref="B326" r:id="rId322" display="https://my.zakupivli.pro/remote/dispatcher/state_purchase_view/59639846"/>
    <hyperlink ref="B327" r:id="rId323" display="https://my.zakupivli.pro/remote/dispatcher/state_purchase_view/60086262"/>
    <hyperlink ref="B328" r:id="rId324" display="https://my.zakupivli.pro/remote/dispatcher/state_purchase_view/58589299"/>
    <hyperlink ref="B329" r:id="rId325" display="https://my.zakupivli.pro/remote/dispatcher/state_purchase_view/58596426"/>
    <hyperlink ref="B330" r:id="rId326" display="https://my.zakupivli.pro/remote/dispatcher/state_purchase_view/58596903"/>
    <hyperlink ref="B331" r:id="rId327" display="https://my.zakupivli.pro/remote/dispatcher/state_purchase_view/58960205"/>
    <hyperlink ref="B332" r:id="rId328" display="https://my.zakupivli.pro/remote/dispatcher/state_purchase_view/59470665"/>
    <hyperlink ref="B333" r:id="rId329" display="https://my.zakupivli.pro/remote/dispatcher/state_purchase_view/58912780"/>
    <hyperlink ref="B334" r:id="rId330" display="https://my.zakupivli.pro/remote/dispatcher/state_purchase_view/60024265"/>
    <hyperlink ref="B335" r:id="rId331" display="https://my.zakupivli.pro/remote/dispatcher/state_purchase_view/60330561"/>
    <hyperlink ref="B336" r:id="rId332" display="https://my.zakupivli.pro/remote/dispatcher/state_purchase_view/60902290"/>
    <hyperlink ref="B337" r:id="rId333" display="https://my.zakupivli.pro/remote/dispatcher/state_purchase_view/60872042"/>
    <hyperlink ref="B338" r:id="rId334" display="https://my.zakupivli.pro/remote/dispatcher/state_purchase_view/60872958"/>
    <hyperlink ref="B339" r:id="rId335" display="https://my.zakupivli.pro/remote/dispatcher/state_purchase_view/60969441"/>
    <hyperlink ref="B340" r:id="rId336" display="https://my.zakupivli.pro/remote/dispatcher/state_purchase_view/60828611"/>
    <hyperlink ref="B341" r:id="rId337" display="https://my.zakupivli.pro/remote/dispatcher/state_purchase_view/59898426"/>
    <hyperlink ref="B342" r:id="rId338" display="https://my.zakupivli.pro/remote/dispatcher/state_purchase_view/59899326"/>
    <hyperlink ref="B343" r:id="rId339" display="https://my.zakupivli.pro/remote/dispatcher/state_purchase_view/62311930"/>
    <hyperlink ref="B344" r:id="rId340" display="https://my.zakupivli.pro/remote/dispatcher/state_purchase_view/62311483"/>
    <hyperlink ref="B345" r:id="rId341" display="https://my.zakupivli.pro/remote/dispatcher/state_purchase_view/63598767"/>
    <hyperlink ref="B346" r:id="rId342" display="https://my.zakupivli.pro/remote/dispatcher/state_purchase_view/63948881"/>
    <hyperlink ref="B347" r:id="rId343" display="https://my.zakupivli.pro/remote/dispatcher/state_purchase_view/63950781"/>
    <hyperlink ref="B348" r:id="rId344" display="https://my.zakupivli.pro/remote/dispatcher/state_purchase_view/64261670"/>
    <hyperlink ref="B349" r:id="rId345" display="https://my.zakupivli.pro/remote/dispatcher/state_purchase_view/61911628"/>
    <hyperlink ref="B350" r:id="rId346" display="https://my.zakupivli.pro/remote/dispatcher/state_purchase_view/62370705"/>
    <hyperlink ref="B351" r:id="rId347" display="https://my.zakupivli.pro/remote/dispatcher/state_purchase_view/62487691"/>
    <hyperlink ref="B352" r:id="rId348" display="https://my.zakupivli.pro/remote/dispatcher/state_purchase_view/64301818"/>
    <hyperlink ref="B353" r:id="rId349" display="https://my.zakupivli.pro/remote/dispatcher/state_purchase_view/64302707"/>
    <hyperlink ref="B354" r:id="rId350" display="https://my.zakupivli.pro/remote/dispatcher/state_purchase_view/60202548"/>
    <hyperlink ref="B355" r:id="rId351" display="https://my.zakupivli.pro/remote/dispatcher/state_purchase_view/63594617"/>
    <hyperlink ref="B356" r:id="rId352" display="https://my.zakupivli.pro/remote/dispatcher/state_purchase_view/58357636"/>
    <hyperlink ref="B357" r:id="rId353" display="https://my.zakupivli.pro/remote/dispatcher/state_purchase_view/65029562"/>
    <hyperlink ref="B358" r:id="rId354" display="https://my.zakupivli.pro/remote/dispatcher/state_purchase_view/65027419"/>
    <hyperlink ref="B359" r:id="rId355" display="https://my.zakupivli.pro/remote/dispatcher/state_purchase_view/57050973"/>
    <hyperlink ref="B360" r:id="rId356" display="https://my.zakupivli.pro/remote/dispatcher/state_purchase_view/56237566"/>
  </hyperlinks>
  <pageMargins left="0.75" right="0.75" top="1" bottom="1" header="0.5" footer="0.5"/>
  <pageSetup paperSize="9" orientation="portrait" verticalDpi="0" r:id="rId3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subject/>
  <dc:creator>Unknown</dc:creator>
  <cp:keywords/>
  <dc:description/>
  <cp:lastModifiedBy>Admin</cp:lastModifiedBy>
  <dcterms:created xsi:type="dcterms:W3CDTF">2026-07-21T10:50:41Z</dcterms:created>
  <dcterms:modified xsi:type="dcterms:W3CDTF">2026-07-21T08:00:11Z</dcterms:modified>
  <cp:category/>
</cp:coreProperties>
</file>